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dnz.sharepoint.com/sites/improvingherdperformanceproject/Shared Documents/InCalf/In-Calf Resources/Gap Calculator - 2024 vn/"/>
    </mc:Choice>
  </mc:AlternateContent>
  <xr:revisionPtr revIDLastSave="128" documentId="14_{1CEB4794-F1F1-41A4-AA18-B09555D8BD3B}" xr6:coauthVersionLast="47" xr6:coauthVersionMax="47" xr10:uidLastSave="{463774F3-0383-40AF-8830-1513983FFBC4}"/>
  <workbookProtection workbookAlgorithmName="SHA-512" workbookHashValue="fkYkALCJhJt3R7hx/MeR4wZYqn+4Fkh7WypSRm3wmnOiIt5ORHAvzSOK/VScr2yR98CmTfW0XBwrvs8r7EH4og==" workbookSaltValue="v/pBYGr3tQACI0XgwzyCyA==" workbookSpinCount="100000" lockStructure="1"/>
  <bookViews>
    <workbookView xWindow="14520" yWindow="-16320" windowWidth="29040" windowHeight="15840" tabRatio="843" activeTab="2" xr2:uid="{00000000-000D-0000-FFFF-FFFF00000000}"/>
  </bookViews>
  <sheets>
    <sheet name="Report Example" sheetId="15" r:id="rId1"/>
    <sheet name="Instructions" sheetId="16" r:id="rId2"/>
    <sheet name="Input Sheet" sheetId="2" r:id="rId3"/>
    <sheet name="Results Page" sheetId="14" r:id="rId4"/>
    <sheet name="Non- Cycling" sheetId="4" r:id="rId5"/>
    <sheet name="Heat Detection" sheetId="6" r:id="rId6"/>
    <sheet name="BCS loss @ early lactation" sheetId="8" r:id="rId7"/>
    <sheet name="BCS @ Calving" sheetId="5" r:id="rId8"/>
    <sheet name="Cow Health" sheetId="7" r:id="rId9"/>
    <sheet name="Calving Pattern" sheetId="9" r:id="rId10"/>
    <sheet name="Heifer Rearing" sheetId="10" r:id="rId11"/>
    <sheet name="Glossary" sheetId="17" r:id="rId12"/>
  </sheets>
  <definedNames>
    <definedName name="_xlcn.WorksheetConnection_CalculationsInCalfTrainingVersion.xlsxNonCycle21" hidden="1">NonCycle2</definedName>
    <definedName name="_xlcn.WorksheetConnection_CalculationsInCalfTrainingVersion.xlsxNonCycling1" hidden="1">NonCycling</definedName>
    <definedName name="_xlcn.WorksheetConnection_CalculationsInCalfTrainingVersion.xlsxNonCycling21" hidden="1">NonCycling2</definedName>
    <definedName name="_xlnm.Print_Area" localSheetId="7">'BCS @ Calving'!$A$1:$C$57</definedName>
    <definedName name="_xlnm.Print_Area" localSheetId="6">'BCS loss @ early lactation'!$A$1:$H$51</definedName>
    <definedName name="_xlnm.Print_Area" localSheetId="9">'Calving Pattern'!$A$1:$D$51</definedName>
    <definedName name="_xlnm.Print_Area" localSheetId="8">'Cow Health'!$A$1:$E$51</definedName>
    <definedName name="_xlnm.Print_Area" localSheetId="11">Glossary!$A$1:$B$28</definedName>
    <definedName name="_xlnm.Print_Area" localSheetId="5">'Heat Detection'!$A$1:$C$50</definedName>
    <definedName name="_xlnm.Print_Area" localSheetId="10">'Heifer Rearing'!$A$1:$D$53</definedName>
    <definedName name="_xlnm.Print_Area" localSheetId="2">'Input Sheet'!$A$1:$F$56</definedName>
    <definedName name="_xlnm.Print_Area" localSheetId="1">Instructions!$A$1:$B$24</definedName>
    <definedName name="_xlnm.Print_Area" localSheetId="4">'Non- Cycling'!$A$1:$D$40</definedName>
    <definedName name="_xlnm.Print_Area" localSheetId="0">'Report Example'!$A$1:$M$51</definedName>
    <definedName name="_xlnm.Print_Area" localSheetId="3">'Results Page'!$A$1:$H$63</definedName>
  </definedNames>
  <calcPr calcId="191028"/>
  <fileRecoveryPr autoRecover="0"/>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NonCycling" name="NonCycling" connection="WorksheetConnection_Calculations - In-Calf Training Version.xlsx!NonCycling"/>
          <x15:modelTable id="NonCycle2" name="NonCycle2" connection="WorksheetConnection_Calculations - In-Calf Training Version.xlsx!NonCycle2"/>
          <x15:modelTable id="NonCycling2" name="NonCycling2" connection="WorksheetConnection_Calculations - In-Calf Training Version.xlsx!NonCycling2"/>
        </x15:modelTables>
        <x15:modelRelationships>
          <x15:modelRelationship fromTable="NonCycling" fromColumn="TO CALCULATE THE GAIN FROM NON-CYCLING" toTable="NonCycling2" toColumn="Column1"/>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5" l="1"/>
  <c r="B10" i="5"/>
  <c r="B25" i="9" l="1"/>
  <c r="B16" i="10"/>
  <c r="B14" i="10"/>
  <c r="B11" i="10"/>
  <c r="B10" i="10"/>
  <c r="B9" i="10"/>
  <c r="B8" i="10"/>
  <c r="B7" i="10"/>
  <c r="B6" i="10"/>
  <c r="B5" i="10"/>
  <c r="B6" i="7"/>
  <c r="B7" i="7"/>
  <c r="B8" i="7"/>
  <c r="B9" i="7"/>
  <c r="B56" i="14" l="1"/>
  <c r="A33" i="2"/>
  <c r="B8" i="2"/>
  <c r="F6" i="2" l="1"/>
  <c r="B7" i="9" l="1"/>
  <c r="B6" i="9"/>
  <c r="B5" i="9"/>
  <c r="B4" i="9"/>
  <c r="D6" i="9" l="1"/>
  <c r="B3" i="5"/>
  <c r="D7" i="8"/>
  <c r="B5" i="4"/>
  <c r="C7" i="7"/>
  <c r="A7" i="7"/>
  <c r="D7" i="7" s="1"/>
  <c r="B8" i="5"/>
  <c r="B12" i="5"/>
  <c r="B13" i="5"/>
  <c r="B9" i="5"/>
  <c r="D5" i="8"/>
  <c r="D4" i="8"/>
  <c r="B7" i="6"/>
  <c r="B6" i="6"/>
  <c r="B17" i="4"/>
  <c r="C6" i="7"/>
  <c r="E6" i="7" s="1"/>
  <c r="B16" i="7" s="1"/>
  <c r="I6" i="2"/>
  <c r="C9" i="7"/>
  <c r="E9" i="7" s="1"/>
  <c r="B19" i="7" s="1"/>
  <c r="C19" i="7" s="1"/>
  <c r="C8" i="7"/>
  <c r="E8" i="7" s="1"/>
  <c r="B18" i="7" s="1"/>
  <c r="B4" i="7"/>
  <c r="C4" i="7" s="1"/>
  <c r="E4" i="7" s="1"/>
  <c r="B14" i="7" s="1"/>
  <c r="B5" i="7"/>
  <c r="C5" i="7" s="1"/>
  <c r="E5" i="7" s="1"/>
  <c r="B15" i="7" s="1"/>
  <c r="B6" i="4"/>
  <c r="D17" i="4" l="1"/>
  <c r="C17" i="4"/>
  <c r="B7" i="4"/>
  <c r="B10" i="4" s="1"/>
  <c r="B11" i="4" s="1"/>
  <c r="B16" i="4" s="1"/>
  <c r="B15" i="10"/>
  <c r="B17" i="10" s="1"/>
  <c r="B18" i="10" s="1"/>
  <c r="A17" i="7"/>
  <c r="E7" i="7"/>
  <c r="B17" i="7" s="1"/>
  <c r="D17" i="7" s="1"/>
  <c r="B31" i="5"/>
  <c r="B32" i="5" s="1"/>
  <c r="B19" i="5"/>
  <c r="D6" i="8"/>
  <c r="C12" i="8" s="1"/>
  <c r="C15" i="8" s="1"/>
  <c r="B8" i="6"/>
  <c r="B18" i="6" s="1"/>
  <c r="B20" i="6" s="1"/>
  <c r="B20" i="5"/>
  <c r="B25" i="5" s="1"/>
  <c r="C16" i="7"/>
  <c r="D16" i="7"/>
  <c r="B29" i="5"/>
  <c r="B30" i="5" s="1"/>
  <c r="D15" i="7"/>
  <c r="C15" i="7"/>
  <c r="D18" i="7"/>
  <c r="C18" i="7"/>
  <c r="D14" i="7"/>
  <c r="C14" i="7"/>
  <c r="D5" i="9"/>
  <c r="B17" i="9" s="1"/>
  <c r="C17" i="9" s="1"/>
  <c r="B13" i="9"/>
  <c r="C13" i="9" s="1"/>
  <c r="B18" i="9"/>
  <c r="C18" i="9" s="1"/>
  <c r="D16" i="4" l="1"/>
  <c r="D18" i="4" s="1"/>
  <c r="E4" i="14" s="1"/>
  <c r="C16" i="4"/>
  <c r="C18" i="4" s="1"/>
  <c r="B23" i="4" s="1"/>
  <c r="B24" i="4" s="1"/>
  <c r="B25" i="10"/>
  <c r="B30" i="10" s="1"/>
  <c r="B24" i="10"/>
  <c r="B29" i="10" s="1"/>
  <c r="B23" i="10"/>
  <c r="B28" i="10" s="1"/>
  <c r="C17" i="7"/>
  <c r="C20" i="7" s="1"/>
  <c r="B25" i="7" s="1"/>
  <c r="B26" i="7" s="1"/>
  <c r="B21" i="5"/>
  <c r="C7" i="14" s="1"/>
  <c r="C21" i="8"/>
  <c r="B34" i="5"/>
  <c r="B47" i="5" s="1"/>
  <c r="B48" i="5" s="1"/>
  <c r="B24" i="5"/>
  <c r="B26" i="5" s="1"/>
  <c r="E7" i="14" s="1"/>
  <c r="C16" i="8"/>
  <c r="C25" i="8" s="1"/>
  <c r="B13" i="6"/>
  <c r="B15" i="6" s="1"/>
  <c r="B25" i="6" s="1"/>
  <c r="B26" i="6" s="1"/>
  <c r="B18" i="4"/>
  <c r="D4" i="9"/>
  <c r="D20" i="7"/>
  <c r="B29" i="7" s="1"/>
  <c r="B30" i="7" s="1"/>
  <c r="F8" i="14" s="1"/>
  <c r="E5" i="14"/>
  <c r="B29" i="6"/>
  <c r="B30" i="6" s="1"/>
  <c r="F5" i="14" s="1"/>
  <c r="C19" i="9"/>
  <c r="E9" i="14" s="1"/>
  <c r="B12" i="9"/>
  <c r="C12" i="9" s="1"/>
  <c r="C14" i="9" l="1"/>
  <c r="C9" i="14" s="1"/>
  <c r="B44" i="10"/>
  <c r="B45" i="10" s="1"/>
  <c r="B36" i="10"/>
  <c r="B37" i="10" s="1"/>
  <c r="B39" i="5"/>
  <c r="B40" i="5" s="1"/>
  <c r="D7" i="14" s="1"/>
  <c r="B40" i="10"/>
  <c r="B43" i="5"/>
  <c r="B44" i="5" s="1"/>
  <c r="F7" i="14" s="1"/>
  <c r="B27" i="4"/>
  <c r="B28" i="4" s="1"/>
  <c r="F4" i="14" s="1"/>
  <c r="C4" i="14"/>
  <c r="C5" i="14"/>
  <c r="B31" i="10"/>
  <c r="E8" i="14"/>
  <c r="C8" i="14"/>
  <c r="D5" i="14"/>
  <c r="G5" i="14" s="1"/>
  <c r="B32" i="6"/>
  <c r="C32" i="6" s="1"/>
  <c r="B32" i="7"/>
  <c r="C32" i="7" s="1"/>
  <c r="D8" i="14"/>
  <c r="G8" i="14" s="1"/>
  <c r="B28" i="9"/>
  <c r="B29" i="9" s="1"/>
  <c r="F9" i="14" s="1"/>
  <c r="D4" i="14"/>
  <c r="B24" i="9" l="1"/>
  <c r="C10" i="14"/>
  <c r="B41" i="10"/>
  <c r="F10" i="14" s="1"/>
  <c r="E10" i="14"/>
  <c r="B50" i="5"/>
  <c r="C50" i="5" s="1"/>
  <c r="G7" i="14"/>
  <c r="C22" i="8"/>
  <c r="D6" i="14" s="1"/>
  <c r="C6" i="14"/>
  <c r="C26" i="8"/>
  <c r="F6" i="14" s="1"/>
  <c r="E6" i="14"/>
  <c r="B30" i="4"/>
  <c r="C30" i="4" s="1"/>
  <c r="D10" i="14"/>
  <c r="G4" i="14"/>
  <c r="D9" i="14" l="1"/>
  <c r="E11" i="14"/>
  <c r="C11" i="14"/>
  <c r="B47" i="10"/>
  <c r="C47" i="10" s="1"/>
  <c r="G10" i="14"/>
  <c r="F11" i="14"/>
  <c r="C28" i="8"/>
  <c r="G6" i="14"/>
  <c r="G9" i="14" l="1"/>
  <c r="G11" i="14" s="1"/>
  <c r="D11" i="14"/>
  <c r="B31" i="9"/>
  <c r="C31" i="9" s="1"/>
  <c r="D28" i="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Calculations - In-Calf Training Version.xlsx!NonCycle2" type="102" refreshedVersion="6" minRefreshableVersion="5">
    <extLst>
      <ext xmlns:x15="http://schemas.microsoft.com/office/spreadsheetml/2010/11/main" uri="{DE250136-89BD-433C-8126-D09CA5730AF9}">
        <x15:connection id="NonCycle2">
          <x15:rangePr sourceName="_xlcn.WorksheetConnection_CalculationsInCalfTrainingVersion.xlsxNonCycle21"/>
        </x15:connection>
      </ext>
    </extLst>
  </connection>
  <connection id="3" xr16:uid="{00000000-0015-0000-FFFF-FFFF02000000}" name="WorksheetConnection_Calculations - In-Calf Training Version.xlsx!NonCycling" type="102" refreshedVersion="6" minRefreshableVersion="5">
    <extLst>
      <ext xmlns:x15="http://schemas.microsoft.com/office/spreadsheetml/2010/11/main" uri="{DE250136-89BD-433C-8126-D09CA5730AF9}">
        <x15:connection id="NonCycling">
          <x15:rangePr sourceName="_xlcn.WorksheetConnection_CalculationsInCalfTrainingVersion.xlsxNonCycling1"/>
        </x15:connection>
      </ext>
    </extLst>
  </connection>
  <connection id="4" xr16:uid="{00000000-0015-0000-FFFF-FFFF03000000}" name="WorksheetConnection_Calculations - In-Calf Training Version.xlsx!NonCycling2" type="102" refreshedVersion="6" minRefreshableVersion="5">
    <extLst>
      <ext xmlns:x15="http://schemas.microsoft.com/office/spreadsheetml/2010/11/main" uri="{DE250136-89BD-433C-8126-D09CA5730AF9}">
        <x15:connection id="NonCycling2">
          <x15:rangePr sourceName="_xlcn.WorksheetConnection_CalculationsInCalfTrainingVersion.xlsxNonCycling21"/>
        </x15:connection>
      </ext>
    </extLst>
  </connection>
</connections>
</file>

<file path=xl/sharedStrings.xml><?xml version="1.0" encoding="utf-8"?>
<sst xmlns="http://schemas.openxmlformats.org/spreadsheetml/2006/main" count="350" uniqueCount="271">
  <si>
    <t>Example Fertility Focus Report - where can I find my information?</t>
  </si>
  <si>
    <t>Use this quick guide as a reference of where to find herd information.</t>
  </si>
  <si>
    <t>DairyNZ InCalf Gap Calculator</t>
  </si>
  <si>
    <t>Aim</t>
  </si>
  <si>
    <r>
      <t xml:space="preserve">This is a </t>
    </r>
    <r>
      <rPr>
        <b/>
        <sz val="11"/>
        <color theme="1"/>
        <rFont val="Arial"/>
        <family val="2"/>
        <scheme val="minor"/>
      </rPr>
      <t xml:space="preserve">Gap Calculator </t>
    </r>
    <r>
      <rPr>
        <sz val="11"/>
        <color theme="1"/>
        <rFont val="Arial"/>
        <family val="2"/>
        <scheme val="minor"/>
      </rPr>
      <t xml:space="preserve">tool. It estimates the economic cost of the 'gap' of a herd's current reproductive performance against farm or industry targets
Individual farm data can be used to provide farm-specific estimates
It is based off the Herd Assesment Pack Tools (PDF). If you have any questions around how a figure is calculated, please refer to the appropriate PDF's for further explanation of the full calculations
</t>
    </r>
  </si>
  <si>
    <t xml:space="preserve">Click Here to view the Herd Assessment Pack PDF Tools
</t>
  </si>
  <si>
    <t xml:space="preserve">This tool is designed to be used in conjunction with the advice of an In-Calf trained adviser. 
</t>
  </si>
  <si>
    <t>How to use:</t>
  </si>
  <si>
    <t xml:space="preserve">1. Enter your Herd Information on the Input Sheet. 
</t>
  </si>
  <si>
    <t xml:space="preserve">2. Each section of the input sheet relates to a different area of your herd reproductive performance. 
    You may choose to fill them all in, or you may decide to only fill in the sections you are interested in.
</t>
  </si>
  <si>
    <r>
      <t xml:space="preserve">Each section is colour coded to match the respective tab in which the calculations are made if you are interested in these. 
In the </t>
    </r>
    <r>
      <rPr>
        <b/>
        <sz val="11"/>
        <color theme="1"/>
        <rFont val="Arial"/>
        <family val="2"/>
        <scheme val="minor"/>
      </rPr>
      <t>Cow Health Section</t>
    </r>
    <r>
      <rPr>
        <sz val="11"/>
        <color theme="1"/>
        <rFont val="Arial"/>
        <family val="2"/>
        <scheme val="minor"/>
      </rPr>
      <t xml:space="preserve">, </t>
    </r>
    <r>
      <rPr>
        <u/>
        <sz val="11"/>
        <color theme="1"/>
        <rFont val="Arial"/>
        <family val="2"/>
        <scheme val="minor"/>
      </rPr>
      <t>Select One</t>
    </r>
    <r>
      <rPr>
        <sz val="11"/>
        <color theme="1"/>
        <rFont val="Arial"/>
        <family val="2"/>
        <scheme val="minor"/>
      </rPr>
      <t xml:space="preserve"> refers to Endometritis. Use the drop down arrow to select the right condition. More definitions are listed below.
If you aren't a numbers person - then skip the tabs and head straight for the Results Page.
</t>
    </r>
  </si>
  <si>
    <t>3. The calculator is pre-set with industry or suggested targets, but you are able to tweak the figures to your desired rates by overtyping these targets (dark grey cells only).</t>
  </si>
  <si>
    <t>Definitions for Cow Health - the input is the number of cows affected.</t>
  </si>
  <si>
    <t>Assisted calving = Any assistance at all provided to deliver the calf
Vaginal discharge = Pus discharge from the vulva more than 14 days after calving 
Endometritis = Metricheck positive 4 weeks before mating start date 
     *To reduce risk of double counting, please only use one of vaginal discharge OR endometritis
Stillborn calf = Calf born dead or dies within 24 hours of birth 
Retained foetal membranes = Membranes visible externally on the day after calving 
Lameness = Cow not bearing full weight on a leg and walking affected, between calving and first 6 weeks of mating 
Mastitis = Any case requiring treatment during  first 6 weeks of the mating period.</t>
  </si>
  <si>
    <t>Input Sheet</t>
  </si>
  <si>
    <t>FARM DETAILS</t>
  </si>
  <si>
    <t>TO CALCULATE THE LIKELY IMPACT FROM BCS @ CALVING</t>
  </si>
  <si>
    <t>Are you a 50:50 Sharemilker?</t>
  </si>
  <si>
    <t>No</t>
  </si>
  <si>
    <t>% below 5.0</t>
  </si>
  <si>
    <t>Yes</t>
  </si>
  <si>
    <t>% above 5.5</t>
  </si>
  <si>
    <t>Total cows at Mating Start Date (MSD)</t>
  </si>
  <si>
    <t>Average BCS</t>
  </si>
  <si>
    <t>Total Heifers (First Calvers)</t>
  </si>
  <si>
    <t>Desired % below 5.0</t>
  </si>
  <si>
    <t>Total MA Cows</t>
  </si>
  <si>
    <t>Desired % above 5.5</t>
  </si>
  <si>
    <t>Select One:</t>
  </si>
  <si>
    <t>Planned Start of Calving</t>
  </si>
  <si>
    <t>Vaginal Discharge</t>
  </si>
  <si>
    <t>Mating Start Date</t>
  </si>
  <si>
    <t>TO CALCULATE THE LIKELY IMPACT FROM COW HEALTH</t>
  </si>
  <si>
    <t>Endometritis (Metri-Check Positive)</t>
  </si>
  <si>
    <t>6-Week In-Calf Rate (Fertility Focus Report)</t>
  </si>
  <si>
    <t>Assisted Calving</t>
  </si>
  <si>
    <t>Desired 6-Week In-Calf rate</t>
  </si>
  <si>
    <t>Stillborn calf</t>
  </si>
  <si>
    <t>Not-In-Calf Rate (Fertility Focus Report)</t>
  </si>
  <si>
    <t>Retained foetal membranes</t>
  </si>
  <si>
    <t>J</t>
  </si>
  <si>
    <t>Desired Not-In-Calf Rate (Fertility Focus Report)</t>
  </si>
  <si>
    <t>X</t>
  </si>
  <si>
    <t>Total Length of Mating (days)</t>
  </si>
  <si>
    <t>Lameness</t>
  </si>
  <si>
    <t>F</t>
  </si>
  <si>
    <t>Milk Price $/KgMS</t>
  </si>
  <si>
    <t>Mastitis</t>
  </si>
  <si>
    <t>Breed</t>
  </si>
  <si>
    <t>TO CALCULATE THE LIKELY IMPACT FROM CALVING PATTERN</t>
  </si>
  <si>
    <t>TO CALCULATE THE LIKELY IMPACT FROM NON-CYCLING</t>
  </si>
  <si>
    <t>Cows calving by week 3 (%)</t>
  </si>
  <si>
    <t>Fertility Focus Report - Premating heats figure OR</t>
  </si>
  <si>
    <t>Cows calving by week 6 (%)</t>
  </si>
  <si>
    <t>No. cows with a premating heat</t>
  </si>
  <si>
    <t>Cows calving by week 9 (%)</t>
  </si>
  <si>
    <t>Desired non-cycling rate</t>
  </si>
  <si>
    <t>Cows calving by week 12 (%)</t>
  </si>
  <si>
    <t>TO CALCULATE THE LIKELY IMPACT FROM HEAT DETECTION</t>
  </si>
  <si>
    <t xml:space="preserve">TO CALCULATE THE LIKELY IMPACT FROM HEIFER REARING </t>
  </si>
  <si>
    <t>Actual Heat detection efficiency (Fertility Focus Report)</t>
  </si>
  <si>
    <t>Mature Liveweight of the herd</t>
  </si>
  <si>
    <t>Desired Heat detection efficiency</t>
  </si>
  <si>
    <t>Age (Months)</t>
  </si>
  <si>
    <t>Measured Liveweight</t>
  </si>
  <si>
    <t>TO CALCULATE THE LIKELY IMPACT FROM BCS LOSS @ EARLY LACTATION</t>
  </si>
  <si>
    <t>Replacement Rate</t>
  </si>
  <si>
    <t>Average BCS just before PSC</t>
  </si>
  <si>
    <t>Average BCS just before MSD</t>
  </si>
  <si>
    <t>`</t>
  </si>
  <si>
    <t>What is the estimated value of my herd's reproductive "gap"?</t>
  </si>
  <si>
    <t>Column1</t>
  </si>
  <si>
    <t>6-Week In-Calf Rate Gap</t>
  </si>
  <si>
    <t>6-Week In-Calf Rate Gap($)</t>
  </si>
  <si>
    <t>Not-In-Calf Rate Gap</t>
  </si>
  <si>
    <t>Not-In-Calf Rate Gap($)</t>
  </si>
  <si>
    <t>Total InCalf Economic Gap</t>
  </si>
  <si>
    <t>Non-Cycling</t>
  </si>
  <si>
    <t>Heat Detection</t>
  </si>
  <si>
    <t>BCS @ early lactation</t>
  </si>
  <si>
    <t>BCS @ Calving*</t>
  </si>
  <si>
    <t>Cow Health</t>
  </si>
  <si>
    <t>Calving Pattern</t>
  </si>
  <si>
    <t>Heifer Rearing*</t>
  </si>
  <si>
    <t>Potential "Gap" on your farm</t>
  </si>
  <si>
    <t>*This figure also has an economic value for increase MS performance</t>
  </si>
  <si>
    <t>DairyNZ InCalf - Non-Cycling Calculator</t>
  </si>
  <si>
    <t>Calculate your Cycling Rate</t>
  </si>
  <si>
    <t>If your pre-mating heats are not reported in your InCalf Fertility Focus report, you can still calculate it manually if you know the number of non-cyclers.</t>
  </si>
  <si>
    <t>Total no. cows at MSD</t>
  </si>
  <si>
    <t>% cows with premating heat (cycling rate)</t>
  </si>
  <si>
    <t>Calculate your Non-Cycling Rate</t>
  </si>
  <si>
    <t>Cycling Rate</t>
  </si>
  <si>
    <t>Non-Cycling Rate</t>
  </si>
  <si>
    <t>Potential improvement in your herds 6-week in-calf rate</t>
  </si>
  <si>
    <t>Estimated impact of non-cycling rates on the herd’s 6-week in-calf rate</t>
  </si>
  <si>
    <t>6-week in-calf rate figure</t>
  </si>
  <si>
    <t>Not-in-calf rate figure</t>
  </si>
  <si>
    <t>Non-cycling rate (%)</t>
  </si>
  <si>
    <t>6-week in-calf rate (%)</t>
  </si>
  <si>
    <t>Not-in-calf (%)</t>
  </si>
  <si>
    <t>Actual non-cycling rate</t>
  </si>
  <si>
    <t>Gap</t>
  </si>
  <si>
    <t>Estimate the likely economic benefits of closing non-cycling rate gap</t>
  </si>
  <si>
    <t>What is closing your 6-week in-calf rate 'gap' worth?</t>
  </si>
  <si>
    <t>6-week In-Calf rate Gap (%)</t>
  </si>
  <si>
    <t>Estimated benefit in closing gap</t>
  </si>
  <si>
    <t>What is closing your not-in-calf rate ‘gap’ worth?</t>
  </si>
  <si>
    <t>Not-in-calf rate gap (%)</t>
  </si>
  <si>
    <t>What is closing your overall herd reproductive performance ‘gap’ worth?</t>
  </si>
  <si>
    <t>DairyNZ InCalf - Heat Detection Calculator</t>
  </si>
  <si>
    <t>Estimate the likely effect that your heat detection performance gap had on your herd’s overall reproductive performance</t>
  </si>
  <si>
    <t>Calculate your heat detection efficiency gap:</t>
  </si>
  <si>
    <t>Desired heat detection efficiency</t>
  </si>
  <si>
    <t>(Industry target is 95%)</t>
  </si>
  <si>
    <t>Actual heat detection efficiency</t>
  </si>
  <si>
    <t>Heat detection efficiency gap</t>
  </si>
  <si>
    <t>Estimate the likely effect of closing the heat detection efficiency gap on herd reproductive performance</t>
  </si>
  <si>
    <t xml:space="preserve"> </t>
  </si>
  <si>
    <t xml:space="preserve">First calculate the increase in 6-week in-calf rate </t>
  </si>
  <si>
    <t>Heat Detection Gap</t>
  </si>
  <si>
    <t>Multiplier*</t>
  </si>
  <si>
    <t>6-week In-Calf rate gap</t>
  </si>
  <si>
    <t>Next calculate the expected decrease in not-in-calf rate (D) by closing this gap:</t>
  </si>
  <si>
    <t>Not-In-Calf rate gap</t>
  </si>
  <si>
    <t>Estimate the likely economic benefits of closing heat detection gap</t>
  </si>
  <si>
    <t>What is closing your 6-week in-calf rate ‘gap’ worth?</t>
  </si>
  <si>
    <r>
      <rPr>
        <sz val="14"/>
        <color theme="1"/>
        <rFont val="Arial"/>
        <family val="2"/>
        <scheme val="minor"/>
      </rPr>
      <t>*</t>
    </r>
    <r>
      <rPr>
        <sz val="9"/>
        <color theme="1"/>
        <rFont val="Arial"/>
        <family val="2"/>
        <scheme val="minor"/>
      </rPr>
      <t>The multipliers of 0.53 and 0.12 were derived from applying the DiaryNZ Whole Farm Model on real commercial herds. Heat detection levels of between 60 and 100% for the first 6 weeks of the mating priod were tested in these herds. The relationships between level of heat detection efficiency and the resulting 6-week in-calf rate and not-in-calf rate (after 12 weeks mating) were then investigated. The above multiplers are the slopes of these linear regression equations, respectively.</t>
    </r>
  </si>
  <si>
    <t>DairyNZ InCalf - BCS @ Early Lactation</t>
  </si>
  <si>
    <t>From 2 Weeks before the Planned Start of Mating Calculate</t>
  </si>
  <si>
    <t>From BCS collected at Planned Start of Calving</t>
  </si>
  <si>
    <t>Write down the number of cows in each BCS category. Multiply this number of cows by the BCS (eg. 24 cows at BCS 4.5 = 108). Add all these values together and divide by the total number of cows assessed. The result is average BCS.</t>
  </si>
  <si>
    <t>Average BCS loss of herd</t>
  </si>
  <si>
    <t>% are too thin</t>
  </si>
  <si>
    <t>Add up the total number of cows with BCS below 5.0. Divide this by the total number of cows assessed (x 100 %).</t>
  </si>
  <si>
    <t>Estimate the BCS at early lactation gap</t>
  </si>
  <si>
    <t>Impact of BCS loss in early lactation on overall reproductive performance</t>
  </si>
  <si>
    <t>Calculate your gap in early lactation BCS loss:</t>
  </si>
  <si>
    <t>Average herd BCS loss</t>
  </si>
  <si>
    <t>Possible decrease in 6-week in-calf rate</t>
  </si>
  <si>
    <t>Possible increase in not-in-calf rate</t>
  </si>
  <si>
    <t>Actual BCS Loss</t>
  </si>
  <si>
    <t>Less than 0.5</t>
  </si>
  <si>
    <t>A reduction from an actual herd BCS of average herd BCS loss in early lactation would have the following beneficial effects:</t>
  </si>
  <si>
    <t>0.5 –0.75</t>
  </si>
  <si>
    <t xml:space="preserve">6-week in-calf rate </t>
  </si>
  <si>
    <t>0.75-1</t>
  </si>
  <si>
    <t>Not-in-calf rate</t>
  </si>
  <si>
    <t>1-1.25</t>
  </si>
  <si>
    <t>1.25-1.5</t>
  </si>
  <si>
    <t>Estimate the likely economic benefits of of closing BCS @ early lactation gap</t>
  </si>
  <si>
    <t>More than 1.5</t>
  </si>
  <si>
    <t>DairyNZ InCalf - BCS @ Calving</t>
  </si>
  <si>
    <t xml:space="preserve">% cows below 5.0 BCS </t>
  </si>
  <si>
    <t>Estimate the Gap</t>
  </si>
  <si>
    <t>BCS @ Calving</t>
  </si>
  <si>
    <t>Actual % Below 5</t>
  </si>
  <si>
    <t>Desired % Below 5</t>
  </si>
  <si>
    <t>Actual % above 5.5</t>
  </si>
  <si>
    <t>Potential improvement in your herd’s reproductive performance</t>
  </si>
  <si>
    <t>Estimate effects of BCS @ Calving on 6-week in-calf rate</t>
  </si>
  <si>
    <t xml:space="preserve">Your herd’s actual BCS profile </t>
  </si>
  <si>
    <t xml:space="preserve">Desired profile </t>
  </si>
  <si>
    <t>Difference (your potential improvement in 6-week in-calf rate)</t>
  </si>
  <si>
    <t>Estimate effects of BCS @ Calving on Not-In-Calf Rate</t>
  </si>
  <si>
    <t>Estimate the likely effect of closing the gaps on milk production</t>
  </si>
  <si>
    <t>% less than 5.0 Gap</t>
  </si>
  <si>
    <t>Change in Milksolids</t>
  </si>
  <si>
    <t>% above 5.5 Gap</t>
  </si>
  <si>
    <t>Change in kgMS per 1% of herd</t>
  </si>
  <si>
    <t>Estimate the likely economic benefits of of closing BCS @ calving gap</t>
  </si>
  <si>
    <t>What is closing your milksolids potentail ‘gap’ worth?</t>
  </si>
  <si>
    <t>Milksolids potential gap (per 1% of the herd</t>
  </si>
  <si>
    <t>DairyNZ InCalf - Cow Health</t>
  </si>
  <si>
    <t xml:space="preserve">Cow health problem </t>
  </si>
  <si>
    <t xml:space="preserve">No cows affected </t>
  </si>
  <si>
    <t xml:space="preserve">Percentage Affected </t>
  </si>
  <si>
    <t xml:space="preserve">Gap 
</t>
  </si>
  <si>
    <t>Assess the Benefits</t>
  </si>
  <si>
    <t>Estimate the likely effect of closing the gaps on herd reproductive performance</t>
  </si>
  <si>
    <t xml:space="preserve">Gap </t>
  </si>
  <si>
    <t xml:space="preserve">Likely decrease in not-in-calf rate </t>
  </si>
  <si>
    <t>The likely decrease in 6 week, and not-in-calf rate if all health problem gaps were closed</t>
  </si>
  <si>
    <t>Estimate the likely economic benefits of closing cow health gap</t>
  </si>
  <si>
    <t>DairyNZ InCalf - Calving pattern</t>
  </si>
  <si>
    <t>Herd actual</t>
  </si>
  <si>
    <t>My desired pattern                    (industry target)</t>
  </si>
  <si>
    <t>Gap 
(desired - actual)</t>
  </si>
  <si>
    <t>Calved by Week 3</t>
  </si>
  <si>
    <t>Calved by Week 6</t>
  </si>
  <si>
    <t>Calved by Week 9</t>
  </si>
  <si>
    <t>Calved after Week 9</t>
  </si>
  <si>
    <t>Estimate the likely effect of closing the calving pattern gaps on herd reproductive performance.</t>
  </si>
  <si>
    <t>Calculate 6-week In-Calf rate Gap</t>
  </si>
  <si>
    <t>Calved by Week 6 gap</t>
  </si>
  <si>
    <t xml:space="preserve">Calved by Week 9 gap </t>
  </si>
  <si>
    <t>6-week In-Calf rate Gap</t>
  </si>
  <si>
    <t>Calculate Not-in-Calf rate Gap</t>
  </si>
  <si>
    <t>Not-in-Calf rate Gap</t>
  </si>
  <si>
    <t>Estimate the economic benefits of improved herd reproductive performance from closing the gaps in calving pattern</t>
  </si>
  <si>
    <t>DairyNZ InCalf - Heifer Rearing</t>
  </si>
  <si>
    <t>Calculate liveweight-for-age targets</t>
  </si>
  <si>
    <t>Age (months)</t>
  </si>
  <si>
    <t>Lwt Targets</t>
  </si>
  <si>
    <t>Gap between actual and Target Liveweight</t>
  </si>
  <si>
    <t>Age</t>
  </si>
  <si>
    <t>Target LWT</t>
  </si>
  <si>
    <t xml:space="preserve"> Measured LWT</t>
  </si>
  <si>
    <t xml:space="preserve">% Average LWT Gap </t>
  </si>
  <si>
    <t>Liveweight Gap (%)</t>
  </si>
  <si>
    <t>6wk ICR (%)</t>
  </si>
  <si>
    <t>Not-in-calf rate (%)</t>
  </si>
  <si>
    <t>Assess the benefits of closing the liveweight gap for this group of heifers</t>
  </si>
  <si>
    <t>Estimate the likely effects of closing the gap on reproductive performance and milk production</t>
  </si>
  <si>
    <t>First Calver 6-week In-Calf Rate</t>
  </si>
  <si>
    <t>First Calver Not-in-Calf Rate</t>
  </si>
  <si>
    <t>First Lactation Extra MS Production (kgMS/heifer)</t>
  </si>
  <si>
    <r>
      <t xml:space="preserve">Next determine the likely economic benefits of these effects on </t>
    </r>
    <r>
      <rPr>
        <b/>
        <i/>
        <u/>
        <sz val="11"/>
        <color theme="1"/>
        <rFont val="Arial"/>
        <family val="2"/>
        <scheme val="minor"/>
      </rPr>
      <t>this group of heifers</t>
    </r>
  </si>
  <si>
    <t>Value from Increasing 6-Week In-Calf Rate</t>
  </si>
  <si>
    <t>Value from Decreasing Not-In-Calf Rate</t>
  </si>
  <si>
    <t xml:space="preserve">Value of Increased milk production </t>
  </si>
  <si>
    <t>Total value of improved heifer performance</t>
  </si>
  <si>
    <r>
      <t xml:space="preserve">Assess the benefits of closing the liveweight gap for the </t>
    </r>
    <r>
      <rPr>
        <b/>
        <i/>
        <u/>
        <sz val="12"/>
        <color theme="0"/>
        <rFont val="Arial"/>
        <family val="2"/>
        <scheme val="minor"/>
      </rPr>
      <t>whole herd</t>
    </r>
    <r>
      <rPr>
        <b/>
        <i/>
        <sz val="12"/>
        <color theme="0"/>
        <rFont val="Arial"/>
        <family val="2"/>
        <scheme val="minor"/>
      </rPr>
      <t xml:space="preserve"> if you regularly close this gap</t>
    </r>
  </si>
  <si>
    <t>What is closing your milksolids potential ‘gap’ worth?</t>
  </si>
  <si>
    <t xml:space="preserve">Milksolids potential gap </t>
  </si>
  <si>
    <t>Definition of terms</t>
  </si>
  <si>
    <t>3-week submission rate (submission rate, SR):</t>
  </si>
  <si>
    <t>The percentage of cows that received at least one insemination or mating in the first 3 weeks of the mating period.  This measure must be high in order to achieve a high 6-week in-calf rate.</t>
  </si>
  <si>
    <t>6-week in-calf rate:</t>
  </si>
  <si>
    <t>The percentage of cows that became pregnant in the first 6 weeks of mating.  This is the best measure of overall herd reproductive performance.</t>
  </si>
  <si>
    <t>Not-in-calf rate:</t>
  </si>
  <si>
    <t>The percentage of cows within a given mating group that failed to become pregnant by the end of a mating period.  Taken alone, this is not a precise measure of overall herd reproductive performance in seasonal and split calving herds.
Note: not-in-calf rate is preferred over ‘empty rate’ as it includes all cows who calved and were in the herd at the start of mating, therefore eligible to be mated.  When referring to ‘empty’ rate, it tends to exclude animals and is therefore not a fair indication of reproduction performance.</t>
  </si>
  <si>
    <t>Conception rate (CR):</t>
  </si>
  <si>
    <t>The percentage of inseminations that resulted in a pregnancy as determined by pregnancy testing.  Taken alone, this measure does not describe overall herd reproductive performance, but a satisfactory conception rate is required to achieve a high 6-week in-calf rate.</t>
  </si>
  <si>
    <t>Non-return rate (NRR):</t>
  </si>
  <si>
    <t>The percentage of inseminations where the cow did not return to heat within 2-24 days after the insemination.  A poor non-return rate provides an early warning that the conception rate is likely to be poor.</t>
  </si>
  <si>
    <t>Non-return rate (18-24 days):</t>
  </si>
  <si>
    <t>A form of non-return rate used by breeding companies to monitor AB technician performance that excludes both short returns (&lt;18 days) and long returns (&gt;24 days).</t>
  </si>
  <si>
    <t>Carryover cows:</t>
  </si>
  <si>
    <t>Cows that are empty at the end of one mating period which are kept in the herd to be mated in a future mating period.</t>
  </si>
  <si>
    <t>Empty cows:</t>
  </si>
  <si>
    <t>Cows determined by pregnancy test from 5 weeks after the end of mating to have failed to get in calf during the mating period.</t>
  </si>
  <si>
    <t>Heat (oestrus):</t>
  </si>
  <si>
    <t>The behavioural display by the cow to indicate the appropriate time for being mated.  May also be referred to as ‘bulling’.</t>
  </si>
  <si>
    <t>InCalf Fertility Focus Report:</t>
  </si>
  <si>
    <t>A single-page summary of reproductive performance in your herd, which is available from your herd improvement recording software.</t>
  </si>
  <si>
    <t>InCalf Herd Assessment Pack tools:</t>
  </si>
  <si>
    <t>A set of stand-alone worksheet calculators for assessing the key areas of reproductive management and prioritising for action.</t>
  </si>
  <si>
    <t>InCalf ‘process’:</t>
  </si>
  <si>
    <t>The continuous improvement process of assessing your herd reproductive performance, identifying scope for improvement and associated benefits, considering options for change and implementing selected management options.</t>
  </si>
  <si>
    <t>Phantom cow:</t>
  </si>
  <si>
    <t>A cow that was assumed pregnant but later found to be empty.  True phantoms do conceive but the embryo dies while the cow continues to ‘believe’ she’s pregnant.  Cows can falsely appear to be phantoms when heat detection is inaccurate and poorly implemented as mating progresses.</t>
  </si>
  <si>
    <t>Pregnancy test:</t>
  </si>
  <si>
    <t>A diagnostic test to check if a cow is pregnant, and possibly the date of conception and age of the pregnancy.  Skilled operators examine uterine contents by manual palpation or ultrasonography.</t>
  </si>
  <si>
    <t>Pre-mating cycling rate:</t>
  </si>
  <si>
    <t>The percentage of cows in the herd detected on heat before Mating Start Date (MSD) or by 9-10 days before MSD.</t>
  </si>
  <si>
    <t>Reproduction management plan:</t>
  </si>
  <si>
    <t>Your own documented plan for managing the ‘Fertility of Life cycle’ activities required for optimising herd fertility.  The plan must at least describe what will be done</t>
  </si>
  <si>
    <t>Submission rate:</t>
  </si>
  <si>
    <t>See 3-week submission rate</t>
  </si>
  <si>
    <t>Targets:</t>
  </si>
  <si>
    <t>Each reproductive target derives from what the top quartile (best 25%) of NZ dairy farms were achieving during the National Monitoring Fertility Report 2003.</t>
  </si>
  <si>
    <t xml:space="preserve">   Updated Sep 2024</t>
  </si>
  <si>
    <t>Targets in grey can be changed to suit your herd</t>
  </si>
  <si>
    <t xml:space="preserve">Enter information in white cells </t>
  </si>
  <si>
    <t>Select from drop down:</t>
  </si>
  <si>
    <t xml:space="preserve">Target % affected  </t>
  </si>
  <si>
    <t xml:space="preserve">Likely decrease in
6 week in-calf rate  </t>
  </si>
  <si>
    <t xml:space="preserve">This information will be used for all sections of the tool. 
If you are unsure where to find any of the stats on your herd information, there is an example Fertility Focus Report on the Report Example sheet that you can refer to, or the Glossary sheet.  
If you are a 50:50 sharemilker, please indicate this on the input sheet. Due to the unique nature of sharemilking contracts, we are able to calculate the value of the gap at 50% of the total farm to reflect what the value would be to the sharemilker. If you wish to view the value to the whole farm, please select "No". 
</t>
  </si>
  <si>
    <r>
      <t>Total cows in herd</t>
    </r>
    <r>
      <rPr>
        <sz val="8"/>
        <color theme="1"/>
        <rFont val="Arial"/>
        <family val="2"/>
        <scheme val="minor"/>
      </rPr>
      <t xml:space="preserve"> (e.g. at Planned Start of Calving)</t>
    </r>
  </si>
  <si>
    <t xml:space="preserve">Herd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</si>
</sst>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6" formatCode="&quot;$&quot;#,##0;[Red]\-&quot;$&quot;#,##0"/>
    <numFmt numFmtId="8" formatCode="&quot;$&quot;#,##0.00;[Red]\-&quot;$&quot;#,##0.00"/>
    <numFmt numFmtId="44" formatCode="_-&quot;$&quot;* #,##0.00_-;\-&quot;$&quot;* #,##0.00_-;_-&quot;$&quot;* &quot;-&quot;??_-;_-@_-"/>
    <numFmt numFmtId="164" formatCode="0.0%"/>
    <numFmt numFmtId="165" formatCode="&quot;$&quot;#,##0"/>
    <numFmt numFmtId="166" formatCode="&quot;$&quot;#,##0.00"/>
    <numFmt numFmtId="167" formatCode="&quot;$&quot;#,##0.0"/>
    <numFmt numFmtId="168" formatCode="0.0"/>
  </numFmts>
  <fonts count="64" x14ac:knownFonts="1">
    <font>
      <sz val="11"/>
      <color theme="1"/>
      <name val="Arial"/>
      <family val="2"/>
      <scheme val="minor"/>
    </font>
    <font>
      <sz val="11"/>
      <color theme="1"/>
      <name val="Arial"/>
      <family val="2"/>
      <scheme val="minor"/>
    </font>
    <font>
      <b/>
      <sz val="11"/>
      <color theme="1"/>
      <name val="Arial"/>
      <family val="2"/>
      <scheme val="minor"/>
    </font>
    <font>
      <i/>
      <sz val="11"/>
      <color theme="1"/>
      <name val="Arial"/>
      <family val="2"/>
      <scheme val="minor"/>
    </font>
    <font>
      <sz val="10"/>
      <color theme="1"/>
      <name val="Arial"/>
      <family val="2"/>
      <scheme val="minor"/>
    </font>
    <font>
      <sz val="9"/>
      <color theme="1"/>
      <name val="Arial"/>
      <family val="2"/>
      <scheme val="minor"/>
    </font>
    <font>
      <sz val="8"/>
      <color theme="1"/>
      <name val="Arial"/>
      <family val="2"/>
      <scheme val="minor"/>
    </font>
    <font>
      <b/>
      <sz val="9"/>
      <color theme="1"/>
      <name val="Arial"/>
      <family val="2"/>
      <scheme val="minor"/>
    </font>
    <font>
      <b/>
      <sz val="10"/>
      <color theme="1"/>
      <name val="Arial"/>
      <family val="2"/>
      <scheme val="minor"/>
    </font>
    <font>
      <b/>
      <i/>
      <sz val="11"/>
      <color theme="1"/>
      <name val="Arial"/>
      <family val="2"/>
      <scheme val="minor"/>
    </font>
    <font>
      <sz val="11"/>
      <color rgb="FFFF0000"/>
      <name val="Arial"/>
      <family val="2"/>
      <scheme val="minor"/>
    </font>
    <font>
      <b/>
      <sz val="11"/>
      <color rgb="FFFF0000"/>
      <name val="Arial"/>
      <family val="2"/>
      <scheme val="minor"/>
    </font>
    <font>
      <b/>
      <sz val="12"/>
      <color theme="1"/>
      <name val="Arial"/>
      <family val="2"/>
      <scheme val="minor"/>
    </font>
    <font>
      <b/>
      <sz val="16"/>
      <color theme="1"/>
      <name val="Arial"/>
      <family val="2"/>
      <scheme val="minor"/>
    </font>
    <font>
      <b/>
      <sz val="14"/>
      <color theme="1"/>
      <name val="Arial"/>
      <family val="2"/>
      <scheme val="minor"/>
    </font>
    <font>
      <b/>
      <sz val="10"/>
      <color rgb="FFFF0000"/>
      <name val="Arial"/>
      <family val="2"/>
      <scheme val="minor"/>
    </font>
    <font>
      <b/>
      <i/>
      <sz val="16"/>
      <color theme="0"/>
      <name val="Arial"/>
      <family val="2"/>
      <scheme val="minor"/>
    </font>
    <font>
      <sz val="11"/>
      <name val="Arial"/>
      <family val="2"/>
      <scheme val="minor"/>
    </font>
    <font>
      <b/>
      <sz val="11"/>
      <color theme="0"/>
      <name val="Arial"/>
      <family val="2"/>
      <scheme val="minor"/>
    </font>
    <font>
      <b/>
      <sz val="16"/>
      <color theme="0"/>
      <name val="Arial"/>
      <family val="2"/>
      <scheme val="minor"/>
    </font>
    <font>
      <b/>
      <i/>
      <sz val="12"/>
      <color theme="1"/>
      <name val="Arial"/>
      <family val="2"/>
      <scheme val="minor"/>
    </font>
    <font>
      <b/>
      <sz val="11"/>
      <name val="Arial"/>
      <family val="2"/>
      <scheme val="minor"/>
    </font>
    <font>
      <b/>
      <i/>
      <sz val="11"/>
      <name val="Arial"/>
      <family val="2"/>
      <scheme val="minor"/>
    </font>
    <font>
      <b/>
      <i/>
      <sz val="11"/>
      <color theme="0"/>
      <name val="Arial"/>
      <family val="2"/>
      <scheme val="minor"/>
    </font>
    <font>
      <b/>
      <sz val="12"/>
      <color rgb="FF92D050"/>
      <name val="Arial"/>
      <family val="2"/>
      <scheme val="minor"/>
    </font>
    <font>
      <b/>
      <sz val="12"/>
      <name val="Arial"/>
      <family val="2"/>
      <scheme val="minor"/>
    </font>
    <font>
      <sz val="12"/>
      <name val="Arial"/>
      <family val="2"/>
      <scheme val="minor"/>
    </font>
    <font>
      <u/>
      <sz val="11"/>
      <color theme="10"/>
      <name val="Arial"/>
      <family val="2"/>
      <scheme val="minor"/>
    </font>
    <font>
      <b/>
      <sz val="18"/>
      <color theme="0"/>
      <name val="Arial"/>
      <family val="2"/>
      <scheme val="minor"/>
    </font>
    <font>
      <b/>
      <i/>
      <sz val="12"/>
      <color theme="0"/>
      <name val="Arial"/>
      <family val="2"/>
      <scheme val="minor"/>
    </font>
    <font>
      <sz val="12"/>
      <color theme="1"/>
      <name val="Arial"/>
      <family val="2"/>
      <scheme val="minor"/>
    </font>
    <font>
      <sz val="14"/>
      <color theme="1"/>
      <name val="Arial"/>
      <family val="2"/>
      <scheme val="minor"/>
    </font>
    <font>
      <sz val="11"/>
      <color indexed="8"/>
      <name val="Arial"/>
      <family val="2"/>
    </font>
    <font>
      <sz val="11"/>
      <color theme="1"/>
      <name val="Arial"/>
      <family val="2"/>
    </font>
    <font>
      <b/>
      <sz val="14"/>
      <color theme="0"/>
      <name val="Arial"/>
      <family val="2"/>
      <scheme val="minor"/>
    </font>
    <font>
      <b/>
      <i/>
      <sz val="10"/>
      <color theme="0"/>
      <name val="Arial"/>
      <family val="2"/>
      <scheme val="minor"/>
    </font>
    <font>
      <b/>
      <i/>
      <sz val="10"/>
      <color theme="1"/>
      <name val="Arial"/>
      <family val="2"/>
      <scheme val="minor"/>
    </font>
    <font>
      <b/>
      <i/>
      <sz val="10"/>
      <name val="Arial"/>
      <family val="2"/>
      <scheme val="minor"/>
    </font>
    <font>
      <b/>
      <sz val="10"/>
      <name val="Arial"/>
      <family val="2"/>
      <scheme val="minor"/>
    </font>
    <font>
      <sz val="10"/>
      <name val="Arial"/>
      <family val="2"/>
      <scheme val="minor"/>
    </font>
    <font>
      <b/>
      <sz val="10"/>
      <color theme="0"/>
      <name val="Arial"/>
      <family val="2"/>
      <scheme val="minor"/>
    </font>
    <font>
      <i/>
      <sz val="10"/>
      <color theme="1"/>
      <name val="Arial"/>
      <family val="2"/>
      <scheme val="minor"/>
    </font>
    <font>
      <b/>
      <i/>
      <sz val="18"/>
      <color theme="0"/>
      <name val="Arial"/>
      <family val="2"/>
      <scheme val="minor"/>
    </font>
    <font>
      <b/>
      <i/>
      <sz val="14"/>
      <color theme="1"/>
      <name val="Arial"/>
      <family val="2"/>
      <scheme val="minor"/>
    </font>
    <font>
      <b/>
      <i/>
      <sz val="10.5"/>
      <color theme="1"/>
      <name val="Arial"/>
      <family val="2"/>
      <scheme val="minor"/>
    </font>
    <font>
      <b/>
      <sz val="12"/>
      <color theme="2"/>
      <name val="Arial"/>
      <family val="2"/>
      <scheme val="minor"/>
    </font>
    <font>
      <sz val="11"/>
      <color rgb="FF353737"/>
      <name val="Arial"/>
      <family val="2"/>
      <scheme val="minor"/>
    </font>
    <font>
      <b/>
      <i/>
      <sz val="18"/>
      <color theme="1"/>
      <name val="Arial"/>
      <family val="2"/>
      <scheme val="minor"/>
    </font>
    <font>
      <b/>
      <i/>
      <u/>
      <sz val="12"/>
      <color theme="0"/>
      <name val="Arial"/>
      <family val="2"/>
      <scheme val="minor"/>
    </font>
    <font>
      <sz val="11"/>
      <color theme="8"/>
      <name val="Arial"/>
      <family val="2"/>
      <scheme val="minor"/>
    </font>
    <font>
      <sz val="10"/>
      <color rgb="FF000000"/>
      <name val="Arial"/>
      <family val="2"/>
    </font>
    <font>
      <b/>
      <sz val="12"/>
      <color theme="9"/>
      <name val="Arial"/>
      <family val="2"/>
      <scheme val="minor"/>
    </font>
    <font>
      <b/>
      <i/>
      <u/>
      <sz val="11"/>
      <color theme="1"/>
      <name val="Arial"/>
      <family val="2"/>
      <scheme val="minor"/>
    </font>
    <font>
      <sz val="11"/>
      <color rgb="FF78B832"/>
      <name val="Arial"/>
      <family val="2"/>
      <scheme val="minor"/>
    </font>
    <font>
      <b/>
      <sz val="12"/>
      <color rgb="FFE36F1E"/>
      <name val="Arial"/>
      <family val="2"/>
      <scheme val="minor"/>
    </font>
    <font>
      <b/>
      <sz val="12"/>
      <color rgb="FF2B5A71"/>
      <name val="Arial"/>
      <family val="2"/>
      <scheme val="minor"/>
    </font>
    <font>
      <b/>
      <sz val="12"/>
      <color rgb="FFCCA640"/>
      <name val="Arial"/>
      <family val="2"/>
      <scheme val="minor"/>
    </font>
    <font>
      <b/>
      <sz val="12"/>
      <color rgb="FF4F8FAB"/>
      <name val="Arial"/>
      <family val="2"/>
      <scheme val="minor"/>
    </font>
    <font>
      <b/>
      <sz val="12"/>
      <color rgb="FF7AC143"/>
      <name val="Arial"/>
      <family val="2"/>
      <scheme val="minor"/>
    </font>
    <font>
      <u/>
      <sz val="10"/>
      <color theme="10"/>
      <name val="Arial"/>
      <family val="2"/>
      <scheme val="minor"/>
    </font>
    <font>
      <b/>
      <sz val="11"/>
      <color rgb="FFC8E6B3"/>
      <name val="Arial"/>
      <family val="2"/>
      <scheme val="minor"/>
    </font>
    <font>
      <b/>
      <i/>
      <sz val="11.5"/>
      <color theme="0"/>
      <name val="Arial"/>
      <family val="2"/>
      <scheme val="minor"/>
    </font>
    <font>
      <i/>
      <sz val="8"/>
      <color theme="1"/>
      <name val="Arial"/>
      <family val="2"/>
      <scheme val="minor"/>
    </font>
    <font>
      <u/>
      <sz val="11"/>
      <color theme="1"/>
      <name val="Arial"/>
      <family val="2"/>
      <scheme val="minor"/>
    </font>
  </fonts>
  <fills count="20">
    <fill>
      <patternFill patternType="none"/>
    </fill>
    <fill>
      <patternFill patternType="gray125"/>
    </fill>
    <fill>
      <patternFill patternType="solid">
        <fgColor theme="6" tint="0.59999389629810485"/>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9"/>
        <bgColor indexed="64"/>
      </patternFill>
    </fill>
    <fill>
      <patternFill patternType="solid">
        <fgColor rgb="FF78B832"/>
        <bgColor indexed="64"/>
      </patternFill>
    </fill>
    <fill>
      <patternFill patternType="solid">
        <fgColor theme="0"/>
        <bgColor indexed="64"/>
      </patternFill>
    </fill>
    <fill>
      <patternFill patternType="solid">
        <fgColor rgb="FF353735"/>
        <bgColor indexed="64"/>
      </patternFill>
    </fill>
    <fill>
      <patternFill patternType="solid">
        <fgColor rgb="FF353737"/>
        <bgColor indexed="64"/>
      </patternFill>
    </fill>
    <fill>
      <patternFill patternType="solid">
        <fgColor rgb="FFC8E6B3"/>
        <bgColor indexed="64"/>
      </patternFill>
    </fill>
    <fill>
      <patternFill patternType="solid">
        <fgColor rgb="FF93D050"/>
        <bgColor indexed="64"/>
      </patternFill>
    </fill>
    <fill>
      <patternFill patternType="solid">
        <fgColor theme="6" tint="0.79998168889431442"/>
        <bgColor indexed="64"/>
      </patternFill>
    </fill>
    <fill>
      <patternFill patternType="solid">
        <fgColor rgb="FFFFFFFF"/>
        <bgColor indexed="64"/>
      </patternFill>
    </fill>
    <fill>
      <patternFill patternType="solid">
        <fgColor rgb="FF7AC143"/>
        <bgColor indexed="64"/>
      </patternFill>
    </fill>
    <fill>
      <patternFill patternType="solid">
        <fgColor rgb="FF4F8FAB"/>
        <bgColor indexed="64"/>
      </patternFill>
    </fill>
    <fill>
      <patternFill patternType="solid">
        <fgColor rgb="FFCCA640"/>
        <bgColor indexed="64"/>
      </patternFill>
    </fill>
    <fill>
      <patternFill patternType="solid">
        <fgColor rgb="FF2B5A71"/>
        <bgColor indexed="64"/>
      </patternFill>
    </fill>
    <fill>
      <patternFill patternType="solid">
        <fgColor rgb="FFE36F1E"/>
        <bgColor indexed="64"/>
      </patternFill>
    </fill>
    <fill>
      <patternFill patternType="solid">
        <fgColor theme="0" tint="-0.249977111117893"/>
        <bgColor indexed="64"/>
      </patternFill>
    </fill>
  </fills>
  <borders count="127">
    <border>
      <left/>
      <right/>
      <top/>
      <bottom/>
      <diagonal/>
    </border>
    <border>
      <left style="thin">
        <color theme="4"/>
      </left>
      <right/>
      <top style="thin">
        <color theme="4"/>
      </top>
      <bottom/>
      <diagonal/>
    </border>
    <border>
      <left/>
      <right style="thin">
        <color theme="4"/>
      </right>
      <top style="thin">
        <color theme="4"/>
      </top>
      <bottom/>
      <diagonal/>
    </border>
    <border>
      <left style="thin">
        <color theme="9"/>
      </left>
      <right/>
      <top style="thin">
        <color theme="9"/>
      </top>
      <bottom/>
      <diagonal/>
    </border>
    <border>
      <left/>
      <right style="thin">
        <color theme="9"/>
      </right>
      <top style="thin">
        <color theme="9"/>
      </top>
      <bottom/>
      <diagonal/>
    </border>
    <border>
      <left style="thin">
        <color theme="9"/>
      </left>
      <right style="hair">
        <color theme="0" tint="-0.24994659260841701"/>
      </right>
      <top/>
      <bottom style="hair">
        <color theme="0" tint="-0.24994659260841701"/>
      </bottom>
      <diagonal/>
    </border>
    <border>
      <left style="hair">
        <color theme="0" tint="-0.24994659260841701"/>
      </left>
      <right style="thin">
        <color theme="9"/>
      </right>
      <top/>
      <bottom style="hair">
        <color theme="0" tint="-0.24994659260841701"/>
      </bottom>
      <diagonal/>
    </border>
    <border>
      <left style="thin">
        <color theme="9"/>
      </left>
      <right style="hair">
        <color theme="0" tint="-0.24994659260841701"/>
      </right>
      <top style="hair">
        <color theme="0" tint="-0.24994659260841701"/>
      </top>
      <bottom style="hair">
        <color theme="0" tint="-0.24994659260841701"/>
      </bottom>
      <diagonal/>
    </border>
    <border>
      <left style="hair">
        <color theme="0" tint="-0.24994659260841701"/>
      </left>
      <right style="thin">
        <color theme="9"/>
      </right>
      <top style="hair">
        <color theme="0" tint="-0.24994659260841701"/>
      </top>
      <bottom style="hair">
        <color theme="0" tint="-0.24994659260841701"/>
      </bottom>
      <diagonal/>
    </border>
    <border>
      <left style="thin">
        <color theme="9"/>
      </left>
      <right style="hair">
        <color theme="0" tint="-0.24994659260841701"/>
      </right>
      <top style="hair">
        <color theme="0" tint="-0.24994659260841701"/>
      </top>
      <bottom style="thin">
        <color theme="9"/>
      </bottom>
      <diagonal/>
    </border>
    <border>
      <left style="hair">
        <color theme="0" tint="-0.24994659260841701"/>
      </left>
      <right style="thin">
        <color theme="9"/>
      </right>
      <top style="hair">
        <color theme="0" tint="-0.24994659260841701"/>
      </top>
      <bottom style="thin">
        <color theme="9"/>
      </bottom>
      <diagonal/>
    </border>
    <border>
      <left style="thin">
        <color rgb="FFC8E6B3"/>
      </left>
      <right/>
      <top style="thin">
        <color rgb="FFC8E6B3"/>
      </top>
      <bottom/>
      <diagonal/>
    </border>
    <border>
      <left/>
      <right style="thin">
        <color rgb="FFC8E6B3"/>
      </right>
      <top style="thin">
        <color rgb="FFC8E6B3"/>
      </top>
      <bottom/>
      <diagonal/>
    </border>
    <border>
      <left style="thin">
        <color rgb="FFC8E6B3"/>
      </left>
      <right style="hair">
        <color theme="0" tint="-0.24994659260841701"/>
      </right>
      <top/>
      <bottom style="hair">
        <color theme="0" tint="-0.24994659260841701"/>
      </bottom>
      <diagonal/>
    </border>
    <border>
      <left style="hair">
        <color theme="0" tint="-0.24994659260841701"/>
      </left>
      <right style="thin">
        <color rgb="FFC8E6B3"/>
      </right>
      <top/>
      <bottom style="hair">
        <color theme="0" tint="-0.24994659260841701"/>
      </bottom>
      <diagonal/>
    </border>
    <border>
      <left style="thin">
        <color rgb="FFC8E6B3"/>
      </left>
      <right style="hair">
        <color theme="0" tint="-0.24994659260841701"/>
      </right>
      <top style="hair">
        <color theme="0" tint="-0.24994659260841701"/>
      </top>
      <bottom style="hair">
        <color theme="0" tint="-0.24994659260841701"/>
      </bottom>
      <diagonal/>
    </border>
    <border>
      <left style="hair">
        <color theme="0" tint="-0.24994659260841701"/>
      </left>
      <right style="thin">
        <color rgb="FFC8E6B3"/>
      </right>
      <top style="hair">
        <color theme="0" tint="-0.24994659260841701"/>
      </top>
      <bottom style="hair">
        <color theme="0" tint="-0.24994659260841701"/>
      </bottom>
      <diagonal/>
    </border>
    <border>
      <left style="thin">
        <color rgb="FFC8E6B3"/>
      </left>
      <right style="hair">
        <color theme="0" tint="-0.24994659260841701"/>
      </right>
      <top style="hair">
        <color theme="0" tint="-0.24994659260841701"/>
      </top>
      <bottom style="thin">
        <color rgb="FFC8E6B3"/>
      </bottom>
      <diagonal/>
    </border>
    <border>
      <left style="hair">
        <color theme="0" tint="-0.24994659260841701"/>
      </left>
      <right style="thin">
        <color rgb="FFC8E6B3"/>
      </right>
      <top style="hair">
        <color theme="0" tint="-0.24994659260841701"/>
      </top>
      <bottom style="thin">
        <color rgb="FFC8E6B3"/>
      </bottom>
      <diagonal/>
    </border>
    <border>
      <left style="thin">
        <color rgb="FFC8E6B3"/>
      </left>
      <right style="hair">
        <color theme="0" tint="-0.24994659260841701"/>
      </right>
      <top style="thin">
        <color rgb="FFC8E6B3"/>
      </top>
      <bottom style="hair">
        <color theme="0" tint="-0.24994659260841701"/>
      </bottom>
      <diagonal/>
    </border>
    <border>
      <left style="hair">
        <color theme="0" tint="-0.24994659260841701"/>
      </left>
      <right style="thin">
        <color rgb="FFC8E6B3"/>
      </right>
      <top style="thin">
        <color rgb="FFC8E6B3"/>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thin">
        <color rgb="FFC8E6B3"/>
      </left>
      <right style="thin">
        <color rgb="FFC8E6B3"/>
      </right>
      <top style="thin">
        <color rgb="FFC8E6B3"/>
      </top>
      <bottom style="thin">
        <color rgb="FFC8E6B3"/>
      </bottom>
      <diagonal/>
    </border>
    <border>
      <left style="hair">
        <color theme="0" tint="-0.24994659260841701"/>
      </left>
      <right style="hair">
        <color theme="0" tint="-0.24994659260841701"/>
      </right>
      <top style="thin">
        <color rgb="FFC8E6B3"/>
      </top>
      <bottom style="hair">
        <color theme="0" tint="-0.24994659260841701"/>
      </bottom>
      <diagonal/>
    </border>
    <border>
      <left style="hair">
        <color theme="0" tint="-0.24994659260841701"/>
      </left>
      <right style="hair">
        <color theme="0" tint="-0.24994659260841701"/>
      </right>
      <top style="hair">
        <color theme="0" tint="-0.24994659260841701"/>
      </top>
      <bottom style="thin">
        <color rgb="FFC8E6B3"/>
      </bottom>
      <diagonal/>
    </border>
    <border>
      <left style="thin">
        <color rgb="FFC8E6B3"/>
      </left>
      <right style="hair">
        <color theme="0" tint="-0.24994659260841701"/>
      </right>
      <top style="thin">
        <color rgb="FFC8E6B3"/>
      </top>
      <bottom style="thin">
        <color rgb="FFC8E6B3"/>
      </bottom>
      <diagonal/>
    </border>
    <border>
      <left style="hair">
        <color theme="0" tint="-0.24994659260841701"/>
      </left>
      <right style="thin">
        <color rgb="FFC8E6B3"/>
      </right>
      <top style="thin">
        <color rgb="FFC8E6B3"/>
      </top>
      <bottom style="thin">
        <color rgb="FFC8E6B3"/>
      </bottom>
      <diagonal/>
    </border>
    <border>
      <left style="thin">
        <color rgb="FFC8E6B3"/>
      </left>
      <right style="thin">
        <color theme="0" tint="-0.24994659260841701"/>
      </right>
      <top style="thin">
        <color theme="0" tint="-0.24994659260841701"/>
      </top>
      <bottom style="thin">
        <color theme="0" tint="-0.24994659260841701"/>
      </bottom>
      <diagonal/>
    </border>
    <border>
      <left style="thin">
        <color theme="0" tint="-0.24994659260841701"/>
      </left>
      <right style="thin">
        <color rgb="FFC8E6B3"/>
      </right>
      <top style="thin">
        <color theme="0" tint="-0.24994659260841701"/>
      </top>
      <bottom style="thin">
        <color theme="0" tint="-0.24994659260841701"/>
      </bottom>
      <diagonal/>
    </border>
    <border>
      <left style="thin">
        <color rgb="FFC8E6B3"/>
      </left>
      <right style="thin">
        <color theme="0" tint="-0.24994659260841701"/>
      </right>
      <top style="thin">
        <color theme="0" tint="-0.24994659260841701"/>
      </top>
      <bottom style="thin">
        <color rgb="FFC8E6B3"/>
      </bottom>
      <diagonal/>
    </border>
    <border>
      <left style="thin">
        <color theme="0" tint="-0.24994659260841701"/>
      </left>
      <right style="thin">
        <color rgb="FFC8E6B3"/>
      </right>
      <top style="thin">
        <color theme="0" tint="-0.24994659260841701"/>
      </top>
      <bottom style="thin">
        <color rgb="FFC8E6B3"/>
      </bottom>
      <diagonal/>
    </border>
    <border>
      <left style="hair">
        <color rgb="FFC8E6B3"/>
      </left>
      <right/>
      <top style="hair">
        <color rgb="FFC8E6B3"/>
      </top>
      <bottom/>
      <diagonal/>
    </border>
    <border>
      <left/>
      <right style="hair">
        <color rgb="FFC8E6B3"/>
      </right>
      <top style="hair">
        <color rgb="FFC8E6B3"/>
      </top>
      <bottom/>
      <diagonal/>
    </border>
    <border>
      <left style="hair">
        <color rgb="FFC8E6B3"/>
      </left>
      <right style="hair">
        <color theme="0" tint="-0.24994659260841701"/>
      </right>
      <top style="hair">
        <color theme="0" tint="-0.24994659260841701"/>
      </top>
      <bottom style="hair">
        <color theme="0" tint="-0.24994659260841701"/>
      </bottom>
      <diagonal/>
    </border>
    <border>
      <left style="hair">
        <color theme="0" tint="-0.24994659260841701"/>
      </left>
      <right style="hair">
        <color rgb="FFC8E6B3"/>
      </right>
      <top style="hair">
        <color theme="0" tint="-0.24994659260841701"/>
      </top>
      <bottom style="hair">
        <color theme="0" tint="-0.24994659260841701"/>
      </bottom>
      <diagonal/>
    </border>
    <border>
      <left style="hair">
        <color rgb="FFC8E6B3"/>
      </left>
      <right style="hair">
        <color theme="0" tint="-0.24994659260841701"/>
      </right>
      <top style="hair">
        <color theme="0" tint="-0.24994659260841701"/>
      </top>
      <bottom style="hair">
        <color rgb="FFC8E6B3"/>
      </bottom>
      <diagonal/>
    </border>
    <border>
      <left style="hair">
        <color theme="0" tint="-0.24994659260841701"/>
      </left>
      <right style="hair">
        <color rgb="FFC8E6B3"/>
      </right>
      <top style="hair">
        <color theme="0" tint="-0.24994659260841701"/>
      </top>
      <bottom style="hair">
        <color rgb="FFC8E6B3"/>
      </bottom>
      <diagonal/>
    </border>
    <border>
      <left style="thin">
        <color rgb="FFC8E6B3"/>
      </left>
      <right/>
      <top style="thin">
        <color rgb="FFC8E6B3"/>
      </top>
      <bottom style="thin">
        <color rgb="FFC8E6B3"/>
      </bottom>
      <diagonal/>
    </border>
    <border>
      <left/>
      <right style="thin">
        <color rgb="FFC8E6B3"/>
      </right>
      <top style="thin">
        <color rgb="FFC8E6B3"/>
      </top>
      <bottom style="thin">
        <color rgb="FFC8E6B3"/>
      </bottom>
      <diagonal/>
    </border>
    <border>
      <left style="thin">
        <color rgb="FFC8E6B3"/>
      </left>
      <right/>
      <top/>
      <bottom style="hair">
        <color theme="0" tint="-0.24994659260841701"/>
      </bottom>
      <diagonal/>
    </border>
    <border>
      <left/>
      <right/>
      <top/>
      <bottom style="hair">
        <color theme="0" tint="-0.24994659260841701"/>
      </bottom>
      <diagonal/>
    </border>
    <border>
      <left style="thin">
        <color rgb="FFC8E6B3"/>
      </left>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style="thin">
        <color rgb="FFC8E6B3"/>
      </left>
      <right/>
      <top style="hair">
        <color theme="0" tint="-0.24994659260841701"/>
      </top>
      <bottom style="thin">
        <color rgb="FFC8E6B3"/>
      </bottom>
      <diagonal/>
    </border>
    <border>
      <left/>
      <right/>
      <top style="hair">
        <color theme="0" tint="-0.24994659260841701"/>
      </top>
      <bottom style="thin">
        <color rgb="FFC8E6B3"/>
      </bottom>
      <diagonal/>
    </border>
    <border>
      <left/>
      <right/>
      <top style="thin">
        <color rgb="FFC8E6B3"/>
      </top>
      <bottom style="thin">
        <color rgb="FFC8E6B3"/>
      </bottom>
      <diagonal/>
    </border>
    <border>
      <left style="hair">
        <color theme="0" tint="-0.24994659260841701"/>
      </left>
      <right style="hair">
        <color theme="0" tint="-0.24994659260841701"/>
      </right>
      <top/>
      <bottom style="hair">
        <color theme="0" tint="-0.24994659260841701"/>
      </bottom>
      <diagonal/>
    </border>
    <border>
      <left style="hair">
        <color theme="0" tint="-0.24994659260841701"/>
      </left>
      <right style="hair">
        <color theme="0" tint="-0.24994659260841701"/>
      </right>
      <top style="hair">
        <color theme="0" tint="-0.24994659260841701"/>
      </top>
      <bottom style="hair">
        <color rgb="FFC8E6B3"/>
      </bottom>
      <diagonal/>
    </border>
    <border>
      <left style="hair">
        <color rgb="FFC8E6B3"/>
      </left>
      <right style="hair">
        <color theme="0" tint="-0.24994659260841701"/>
      </right>
      <top/>
      <bottom style="hair">
        <color theme="0" tint="-0.24994659260841701"/>
      </bottom>
      <diagonal/>
    </border>
    <border>
      <left style="hair">
        <color theme="0" tint="-0.24994659260841701"/>
      </left>
      <right style="hair">
        <color rgb="FFC8E6B3"/>
      </right>
      <top/>
      <bottom style="hair">
        <color theme="0" tint="-0.24994659260841701"/>
      </bottom>
      <diagonal/>
    </border>
    <border>
      <left/>
      <right/>
      <top style="hair">
        <color rgb="FFA5A5A5"/>
      </top>
      <bottom style="hair">
        <color rgb="FFA5A5A5"/>
      </bottom>
      <diagonal/>
    </border>
    <border>
      <left/>
      <right/>
      <top/>
      <bottom style="hair">
        <color rgb="FFA5A5A5"/>
      </bottom>
      <diagonal/>
    </border>
    <border>
      <left style="thin">
        <color theme="4"/>
      </left>
      <right/>
      <top/>
      <bottom style="hair">
        <color theme="0" tint="-0.24994659260841701"/>
      </bottom>
      <diagonal/>
    </border>
    <border>
      <left style="thin">
        <color rgb="FFFFFFFF"/>
      </left>
      <right/>
      <top/>
      <bottom/>
      <diagonal/>
    </border>
    <border>
      <left style="thin">
        <color theme="4"/>
      </left>
      <right/>
      <top style="hair">
        <color theme="0" tint="-0.24994659260841701"/>
      </top>
      <bottom style="thin">
        <color theme="4"/>
      </bottom>
      <diagonal/>
    </border>
    <border>
      <left style="thin">
        <color rgb="FFD0CECE"/>
      </left>
      <right style="thin">
        <color theme="4"/>
      </right>
      <top/>
      <bottom style="hair">
        <color theme="0" tint="-0.24994659260841701"/>
      </bottom>
      <diagonal/>
    </border>
    <border>
      <left style="thin">
        <color rgb="FFD0CECE"/>
      </left>
      <right style="thin">
        <color theme="4"/>
      </right>
      <top style="hair">
        <color theme="0" tint="-0.24994659260841701"/>
      </top>
      <bottom style="thin">
        <color theme="4"/>
      </bottom>
      <diagonal/>
    </border>
    <border>
      <left style="thin">
        <color rgb="FF7AC143"/>
      </left>
      <right/>
      <top style="thin">
        <color rgb="FF7AC143"/>
      </top>
      <bottom/>
      <diagonal/>
    </border>
    <border>
      <left/>
      <right style="thin">
        <color rgb="FF7AC143"/>
      </right>
      <top style="thin">
        <color rgb="FF7AC143"/>
      </top>
      <bottom/>
      <diagonal/>
    </border>
    <border>
      <left style="thin">
        <color rgb="FF7AC143"/>
      </left>
      <right style="hair">
        <color theme="0" tint="-0.24994659260841701"/>
      </right>
      <top/>
      <bottom style="hair">
        <color theme="0" tint="-0.24994659260841701"/>
      </bottom>
      <diagonal/>
    </border>
    <border>
      <left style="thin">
        <color rgb="FF7AC143"/>
      </left>
      <right style="hair">
        <color theme="0" tint="-0.24994659260841701"/>
      </right>
      <top style="hair">
        <color theme="0" tint="-0.24994659260841701"/>
      </top>
      <bottom style="hair">
        <color theme="0" tint="-0.24994659260841701"/>
      </bottom>
      <diagonal/>
    </border>
    <border>
      <left style="hair">
        <color theme="0" tint="-0.24994659260841701"/>
      </left>
      <right style="thin">
        <color rgb="FF7AC143"/>
      </right>
      <top style="hair">
        <color theme="0" tint="-0.24994659260841701"/>
      </top>
      <bottom style="hair">
        <color theme="0" tint="-0.24994659260841701"/>
      </bottom>
      <diagonal/>
    </border>
    <border>
      <left style="thin">
        <color rgb="FF7AC143"/>
      </left>
      <right style="hair">
        <color theme="0" tint="-0.24994659260841701"/>
      </right>
      <top style="hair">
        <color theme="0" tint="-0.24994659260841701"/>
      </top>
      <bottom style="thin">
        <color rgb="FF7AC143"/>
      </bottom>
      <diagonal/>
    </border>
    <border>
      <left style="hair">
        <color theme="0" tint="-0.24994659260841701"/>
      </left>
      <right style="thin">
        <color rgb="FF7AC143"/>
      </right>
      <top style="hair">
        <color theme="0" tint="-0.24994659260841701"/>
      </top>
      <bottom style="thin">
        <color rgb="FF7AC143"/>
      </bottom>
      <diagonal/>
    </border>
    <border>
      <left style="thin">
        <color rgb="FF2B5A71"/>
      </left>
      <right/>
      <top style="thin">
        <color rgb="FF2B5A71"/>
      </top>
      <bottom/>
      <diagonal/>
    </border>
    <border>
      <left/>
      <right style="thin">
        <color rgb="FF2B5A71"/>
      </right>
      <top style="thin">
        <color rgb="FF2B5A71"/>
      </top>
      <bottom/>
      <diagonal/>
    </border>
    <border>
      <left style="thin">
        <color rgb="FF2B5A71"/>
      </left>
      <right style="hair">
        <color theme="0" tint="-0.24994659260841701"/>
      </right>
      <top/>
      <bottom style="hair">
        <color theme="0" tint="-0.24994659260841701"/>
      </bottom>
      <diagonal/>
    </border>
    <border>
      <left style="hair">
        <color theme="0" tint="-0.24994659260841701"/>
      </left>
      <right style="thin">
        <color rgb="FF2B5A71"/>
      </right>
      <top/>
      <bottom style="hair">
        <color theme="0" tint="-0.24994659260841701"/>
      </bottom>
      <diagonal/>
    </border>
    <border>
      <left style="thin">
        <color rgb="FF2B5A71"/>
      </left>
      <right style="hair">
        <color theme="0" tint="-0.24994659260841701"/>
      </right>
      <top style="hair">
        <color theme="0" tint="-0.24994659260841701"/>
      </top>
      <bottom style="hair">
        <color theme="0" tint="-0.24994659260841701"/>
      </bottom>
      <diagonal/>
    </border>
    <border>
      <left style="hair">
        <color theme="0" tint="-0.24994659260841701"/>
      </left>
      <right style="thin">
        <color rgb="FF2B5A71"/>
      </right>
      <top style="hair">
        <color theme="0" tint="-0.24994659260841701"/>
      </top>
      <bottom style="hair">
        <color theme="0" tint="-0.24994659260841701"/>
      </bottom>
      <diagonal/>
    </border>
    <border>
      <left style="thin">
        <color rgb="FF2B5A71"/>
      </left>
      <right style="hair">
        <color theme="0" tint="-0.24994659260841701"/>
      </right>
      <top style="hair">
        <color theme="0" tint="-0.24994659260841701"/>
      </top>
      <bottom style="thin">
        <color rgb="FF2B5A71"/>
      </bottom>
      <diagonal/>
    </border>
    <border>
      <left style="hair">
        <color theme="0" tint="-0.24994659260841701"/>
      </left>
      <right style="thin">
        <color rgb="FF2B5A71"/>
      </right>
      <top style="hair">
        <color theme="0" tint="-0.24994659260841701"/>
      </top>
      <bottom style="thin">
        <color rgb="FF2B5A71"/>
      </bottom>
      <diagonal/>
    </border>
    <border>
      <left style="thin">
        <color rgb="FF4F8FAB"/>
      </left>
      <right/>
      <top style="thin">
        <color rgb="FF4F8FAB"/>
      </top>
      <bottom/>
      <diagonal/>
    </border>
    <border>
      <left/>
      <right style="thin">
        <color rgb="FF4F8FAB"/>
      </right>
      <top style="thin">
        <color rgb="FF4F8FAB"/>
      </top>
      <bottom/>
      <diagonal/>
    </border>
    <border>
      <left style="thin">
        <color rgb="FF4F8FAB"/>
      </left>
      <right style="hair">
        <color theme="0" tint="-0.24994659260841701"/>
      </right>
      <top/>
      <bottom style="hair">
        <color theme="0" tint="-0.24994659260841701"/>
      </bottom>
      <diagonal/>
    </border>
    <border>
      <left style="hair">
        <color theme="0" tint="-0.24994659260841701"/>
      </left>
      <right style="thin">
        <color rgb="FF4F8FAB"/>
      </right>
      <top/>
      <bottom style="hair">
        <color theme="0" tint="-0.24994659260841701"/>
      </bottom>
      <diagonal/>
    </border>
    <border>
      <left style="thin">
        <color rgb="FF4F8FAB"/>
      </left>
      <right style="hair">
        <color theme="0" tint="-0.24994659260841701"/>
      </right>
      <top style="hair">
        <color theme="0" tint="-0.24994659260841701"/>
      </top>
      <bottom style="hair">
        <color theme="0" tint="-0.24994659260841701"/>
      </bottom>
      <diagonal/>
    </border>
    <border>
      <left style="hair">
        <color theme="0" tint="-0.24994659260841701"/>
      </left>
      <right style="thin">
        <color rgb="FF4F8FAB"/>
      </right>
      <top style="hair">
        <color theme="0" tint="-0.24994659260841701"/>
      </top>
      <bottom style="hair">
        <color theme="0" tint="-0.24994659260841701"/>
      </bottom>
      <diagonal/>
    </border>
    <border>
      <left style="thin">
        <color rgb="FF4F8FAB"/>
      </left>
      <right style="hair">
        <color theme="0" tint="-0.24994659260841701"/>
      </right>
      <top style="hair">
        <color theme="0" tint="-0.24994659260841701"/>
      </top>
      <bottom style="thin">
        <color rgb="FF4F8FAB"/>
      </bottom>
      <diagonal/>
    </border>
    <border>
      <left style="hair">
        <color theme="0" tint="-0.24994659260841701"/>
      </left>
      <right style="thin">
        <color rgb="FF4F8FAB"/>
      </right>
      <top style="hair">
        <color theme="0" tint="-0.24994659260841701"/>
      </top>
      <bottom style="thin">
        <color rgb="FF4F8FAB"/>
      </bottom>
      <diagonal/>
    </border>
    <border>
      <left style="thin">
        <color rgb="FFCCA640"/>
      </left>
      <right/>
      <top style="thin">
        <color rgb="FFCCA640"/>
      </top>
      <bottom/>
      <diagonal/>
    </border>
    <border>
      <left/>
      <right style="thin">
        <color rgb="FFCCA640"/>
      </right>
      <top style="thin">
        <color rgb="FFCCA640"/>
      </top>
      <bottom/>
      <diagonal/>
    </border>
    <border>
      <left style="thin">
        <color rgb="FF78B832"/>
      </left>
      <right/>
      <top style="thin">
        <color rgb="FF78B832"/>
      </top>
      <bottom/>
      <diagonal/>
    </border>
    <border>
      <left/>
      <right style="thin">
        <color rgb="FF78B832"/>
      </right>
      <top style="thin">
        <color rgb="FF78B832"/>
      </top>
      <bottom/>
      <diagonal/>
    </border>
    <border>
      <left style="thin">
        <color rgb="FF78B832"/>
      </left>
      <right style="hair">
        <color theme="0" tint="-0.24994659260841701"/>
      </right>
      <top/>
      <bottom style="hair">
        <color theme="0" tint="-0.24994659260841701"/>
      </bottom>
      <diagonal/>
    </border>
    <border>
      <left style="hair">
        <color theme="0" tint="-0.24994659260841701"/>
      </left>
      <right style="thin">
        <color rgb="FF78B832"/>
      </right>
      <top/>
      <bottom style="hair">
        <color theme="0" tint="-0.24994659260841701"/>
      </bottom>
      <diagonal/>
    </border>
    <border>
      <left style="thin">
        <color rgb="FF78B832"/>
      </left>
      <right style="hair">
        <color theme="0" tint="-0.24994659260841701"/>
      </right>
      <top style="hair">
        <color theme="0" tint="-0.24994659260841701"/>
      </top>
      <bottom style="hair">
        <color theme="0" tint="-0.24994659260841701"/>
      </bottom>
      <diagonal/>
    </border>
    <border>
      <left style="hair">
        <color theme="0" tint="-0.24994659260841701"/>
      </left>
      <right style="thin">
        <color rgb="FF78B832"/>
      </right>
      <top style="hair">
        <color theme="0" tint="-0.24994659260841701"/>
      </top>
      <bottom style="hair">
        <color theme="0" tint="-0.24994659260841701"/>
      </bottom>
      <diagonal/>
    </border>
    <border>
      <left style="thin">
        <color rgb="FF78B832"/>
      </left>
      <right style="hair">
        <color theme="0" tint="-0.24994659260841701"/>
      </right>
      <top style="hair">
        <color theme="0" tint="-0.24994659260841701"/>
      </top>
      <bottom style="thin">
        <color rgb="FF78B832"/>
      </bottom>
      <diagonal/>
    </border>
    <border>
      <left style="hair">
        <color theme="0" tint="-0.24994659260841701"/>
      </left>
      <right style="thin">
        <color rgb="FF78B832"/>
      </right>
      <top style="hair">
        <color theme="0" tint="-0.24994659260841701"/>
      </top>
      <bottom style="thin">
        <color rgb="FF78B832"/>
      </bottom>
      <diagonal/>
    </border>
    <border>
      <left/>
      <right/>
      <top/>
      <bottom style="thin">
        <color theme="0"/>
      </bottom>
      <diagonal/>
    </border>
    <border>
      <left/>
      <right/>
      <top style="thin">
        <color theme="0"/>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hair">
        <color theme="0" tint="-0.24994659260841701"/>
      </left>
      <right/>
      <top style="thin">
        <color rgb="FFC8E6B3"/>
      </top>
      <bottom style="hair">
        <color theme="0" tint="-0.24994659260841701"/>
      </bottom>
      <diagonal/>
    </border>
    <border>
      <left style="hair">
        <color theme="0" tint="-0.24994659260841701"/>
      </left>
      <right/>
      <top style="hair">
        <color theme="0" tint="-0.24994659260841701"/>
      </top>
      <bottom style="hair">
        <color theme="0" tint="-0.24994659260841701"/>
      </bottom>
      <diagonal/>
    </border>
    <border>
      <left style="hair">
        <color theme="0" tint="-0.24994659260841701"/>
      </left>
      <right/>
      <top style="hair">
        <color theme="0" tint="-0.24994659260841701"/>
      </top>
      <bottom style="thin">
        <color rgb="FFC8E6B3"/>
      </bottom>
      <diagonal/>
    </border>
    <border>
      <left style="thin">
        <color rgb="FFC8E6B3"/>
      </left>
      <right/>
      <top/>
      <bottom/>
      <diagonal/>
    </border>
    <border>
      <left style="hair">
        <color theme="0" tint="-0.249977111117893"/>
      </left>
      <right style="thin">
        <color rgb="FFC8E6B3"/>
      </right>
      <top/>
      <bottom style="thin">
        <color rgb="FFC8E6B3"/>
      </bottom>
      <diagonal/>
    </border>
    <border>
      <left style="hair">
        <color theme="0" tint="-0.249977111117893"/>
      </left>
      <right style="thin">
        <color rgb="FFC8E6B3"/>
      </right>
      <top/>
      <bottom style="hair">
        <color theme="0" tint="-0.249977111117893"/>
      </bottom>
      <diagonal/>
    </border>
    <border>
      <left style="thin">
        <color rgb="FFC8E6B3"/>
      </left>
      <right/>
      <top/>
      <bottom style="thin">
        <color rgb="FFC8E6B3"/>
      </bottom>
      <diagonal/>
    </border>
    <border>
      <left style="thin">
        <color rgb="FFC8E6B3"/>
      </left>
      <right style="thin">
        <color rgb="FFC8E6B3"/>
      </right>
      <top/>
      <bottom style="thin">
        <color rgb="FFC8E6B3"/>
      </bottom>
      <diagonal/>
    </border>
    <border>
      <left/>
      <right/>
      <top style="thin">
        <color rgb="FFC8E6B3"/>
      </top>
      <bottom/>
      <diagonal/>
    </border>
    <border>
      <left style="hair">
        <color theme="0" tint="-0.24994659260841701"/>
      </left>
      <right style="hair">
        <color theme="0" tint="-0.249977111117893"/>
      </right>
      <top style="thin">
        <color rgb="FFC8E6B3"/>
      </top>
      <bottom style="hair">
        <color theme="0" tint="-0.24994659260841701"/>
      </bottom>
      <diagonal/>
    </border>
    <border>
      <left style="hair">
        <color theme="0" tint="-0.249977111117893"/>
      </left>
      <right style="thin">
        <color rgb="FFC8E6B3"/>
      </right>
      <top style="hair">
        <color theme="0" tint="-0.249977111117893"/>
      </top>
      <bottom style="thin">
        <color rgb="FFC8E6B3"/>
      </bottom>
      <diagonal/>
    </border>
    <border>
      <left style="hair">
        <color theme="0" tint="-0.249977111117893"/>
      </left>
      <right style="thin">
        <color rgb="FFC8E6B3"/>
      </right>
      <top style="hair">
        <color theme="0" tint="-0.249977111117893"/>
      </top>
      <bottom style="hair">
        <color theme="0" tint="-0.249977111117893"/>
      </bottom>
      <diagonal/>
    </border>
    <border>
      <left style="thin">
        <color rgb="FF2B5A71"/>
      </left>
      <right style="hair">
        <color theme="0" tint="-0.24994659260841701"/>
      </right>
      <top style="hair">
        <color theme="0" tint="-0.24994659260841701"/>
      </top>
      <bottom style="thin">
        <color rgb="FF4F8FAB"/>
      </bottom>
      <diagonal/>
    </border>
    <border>
      <left style="hair">
        <color theme="0" tint="-0.24994659260841701"/>
      </left>
      <right style="thin">
        <color rgb="FF2B5A71"/>
      </right>
      <top style="hair">
        <color theme="0" tint="-0.24994659260841701"/>
      </top>
      <bottom style="thin">
        <color rgb="FF4F8FAB"/>
      </bottom>
      <diagonal/>
    </border>
    <border>
      <left/>
      <right style="thin">
        <color rgb="FFCCA640"/>
      </right>
      <top style="hair">
        <color theme="0" tint="-0.24994659260841701"/>
      </top>
      <bottom style="hair">
        <color theme="0" tint="-0.2499465926084170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thin">
        <color rgb="FFCCA640"/>
      </left>
      <right style="hair">
        <color theme="0" tint="-0.24994659260841701"/>
      </right>
      <top style="thin">
        <color rgb="FFCCA640"/>
      </top>
      <bottom style="hair">
        <color theme="0" tint="-0.24994659260841701"/>
      </bottom>
      <diagonal/>
    </border>
    <border>
      <left style="hair">
        <color theme="0" tint="-0.24994659260841701"/>
      </left>
      <right style="thin">
        <color rgb="FFCCA640"/>
      </right>
      <top style="thin">
        <color rgb="FFCCA640"/>
      </top>
      <bottom style="hair">
        <color theme="0" tint="-0.24994659260841701"/>
      </bottom>
      <diagonal/>
    </border>
    <border>
      <left style="thin">
        <color rgb="FFCCA640"/>
      </left>
      <right style="hair">
        <color theme="0" tint="-0.24994659260841701"/>
      </right>
      <top style="hair">
        <color theme="0" tint="-0.24994659260841701"/>
      </top>
      <bottom style="hair">
        <color theme="0" tint="-0.24994659260841701"/>
      </bottom>
      <diagonal/>
    </border>
    <border>
      <left style="hair">
        <color theme="0" tint="-0.24994659260841701"/>
      </left>
      <right style="thin">
        <color rgb="FFCCA640"/>
      </right>
      <top style="hair">
        <color theme="0" tint="-0.24994659260841701"/>
      </top>
      <bottom style="hair">
        <color theme="0" tint="-0.24994659260841701"/>
      </bottom>
      <diagonal/>
    </border>
    <border>
      <left style="thin">
        <color rgb="FFCCA640"/>
      </left>
      <right style="hair">
        <color theme="0" tint="-0.24994659260841701"/>
      </right>
      <top style="hair">
        <color theme="0" tint="-0.24994659260841701"/>
      </top>
      <bottom style="thin">
        <color rgb="FFCCA640"/>
      </bottom>
      <diagonal/>
    </border>
    <border>
      <left style="hair">
        <color theme="0" tint="-0.24994659260841701"/>
      </left>
      <right style="thin">
        <color rgb="FFCCA640"/>
      </right>
      <top style="hair">
        <color theme="0" tint="-0.24994659260841701"/>
      </top>
      <bottom style="thin">
        <color rgb="FFCCA640"/>
      </bottom>
      <diagonal/>
    </border>
    <border>
      <left style="thin">
        <color rgb="FFC8E6B3"/>
      </left>
      <right/>
      <top style="thin">
        <color rgb="FFC8E6B3"/>
      </top>
      <bottom style="hair">
        <color theme="0" tint="-0.24994659260841701"/>
      </bottom>
      <diagonal/>
    </border>
    <border>
      <left/>
      <right/>
      <top style="thin">
        <color rgb="FFC8E6B3"/>
      </top>
      <bottom style="hair">
        <color theme="0" tint="-0.24994659260841701"/>
      </bottom>
      <diagonal/>
    </border>
    <border>
      <left style="hair">
        <color theme="0" tint="-0.24994659260841701"/>
      </left>
      <right/>
      <top/>
      <bottom style="hair">
        <color theme="0" tint="-0.24994659260841701"/>
      </bottom>
      <diagonal/>
    </border>
    <border>
      <left style="hair">
        <color theme="0" tint="-0.24994659260841701"/>
      </left>
      <right/>
      <top style="thin">
        <color rgb="FFC8E6B3"/>
      </top>
      <bottom style="thin">
        <color rgb="FFC8E6B3"/>
      </bottom>
      <diagonal/>
    </border>
  </borders>
  <cellStyleXfs count="5">
    <xf numFmtId="0" fontId="0" fillId="0" borderId="0"/>
    <xf numFmtId="9" fontId="1" fillId="0" borderId="0" applyFont="0" applyFill="0" applyBorder="0" applyAlignment="0" applyProtection="0"/>
    <xf numFmtId="44" fontId="1" fillId="0" borderId="0" applyFont="0" applyFill="0" applyBorder="0" applyAlignment="0" applyProtection="0"/>
    <xf numFmtId="0" fontId="27" fillId="0" borderId="0" applyNumberFormat="0" applyFill="0" applyBorder="0" applyAlignment="0" applyProtection="0"/>
    <xf numFmtId="44" fontId="1" fillId="0" borderId="0" applyFont="0" applyFill="0" applyBorder="0" applyAlignment="0" applyProtection="0"/>
  </cellStyleXfs>
  <cellXfs count="677">
    <xf numFmtId="0" fontId="0" fillId="0" borderId="0" xfId="0"/>
    <xf numFmtId="0" fontId="2" fillId="0" borderId="0" xfId="0" applyFont="1"/>
    <xf numFmtId="0" fontId="3" fillId="0" borderId="0" xfId="0" applyFont="1"/>
    <xf numFmtId="0" fontId="6" fillId="0" borderId="0" xfId="0" applyFont="1"/>
    <xf numFmtId="0" fontId="5" fillId="0" borderId="0" xfId="0" applyFont="1"/>
    <xf numFmtId="9" fontId="6" fillId="0" borderId="0" xfId="1"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vertical="center"/>
    </xf>
    <xf numFmtId="0" fontId="9" fillId="0" borderId="0" xfId="0" applyFont="1"/>
    <xf numFmtId="9" fontId="5" fillId="2" borderId="0" xfId="1" applyFont="1" applyFill="1" applyAlignment="1">
      <alignment horizontal="center" vertical="center"/>
    </xf>
    <xf numFmtId="9" fontId="5" fillId="0" borderId="0" xfId="1" applyFont="1" applyAlignment="1">
      <alignment horizontal="center" vertical="center"/>
    </xf>
    <xf numFmtId="0" fontId="9" fillId="2" borderId="0" xfId="0" applyFont="1" applyFill="1"/>
    <xf numFmtId="165" fontId="0" fillId="0" borderId="0" xfId="1" applyNumberFormat="1" applyFont="1" applyAlignment="1">
      <alignment horizontal="center"/>
    </xf>
    <xf numFmtId="9" fontId="0" fillId="0" borderId="0" xfId="1" applyFont="1" applyAlignment="1">
      <alignment horizontal="center" vertical="center"/>
    </xf>
    <xf numFmtId="0" fontId="0" fillId="2" borderId="0" xfId="0" applyFill="1" applyAlignment="1">
      <alignment horizontal="center" vertical="center"/>
    </xf>
    <xf numFmtId="9" fontId="0" fillId="2" borderId="0" xfId="1" applyFont="1" applyFill="1" applyAlignment="1">
      <alignment horizontal="center" vertical="center"/>
    </xf>
    <xf numFmtId="165" fontId="24" fillId="0" borderId="0" xfId="0" applyNumberFormat="1" applyFont="1"/>
    <xf numFmtId="0" fontId="6" fillId="0" borderId="0" xfId="0" applyFont="1" applyAlignment="1">
      <alignment horizontal="center" wrapText="1"/>
    </xf>
    <xf numFmtId="0" fontId="33" fillId="0" borderId="0" xfId="0" applyFont="1" applyAlignment="1">
      <alignment vertical="center"/>
    </xf>
    <xf numFmtId="0" fontId="32" fillId="0" borderId="0" xfId="0" applyFont="1" applyAlignment="1">
      <alignment vertical="center"/>
    </xf>
    <xf numFmtId="0" fontId="27" fillId="0" borderId="0" xfId="3"/>
    <xf numFmtId="0" fontId="0" fillId="0" borderId="0" xfId="0" applyAlignment="1">
      <alignment horizontal="left" vertical="top" wrapText="1"/>
    </xf>
    <xf numFmtId="0" fontId="0" fillId="6" borderId="0" xfId="0" applyFill="1"/>
    <xf numFmtId="0" fontId="0" fillId="7" borderId="0" xfId="0" applyFill="1"/>
    <xf numFmtId="0" fontId="5" fillId="7" borderId="0" xfId="0" applyFont="1" applyFill="1" applyAlignment="1">
      <alignment horizontal="left" indent="2"/>
    </xf>
    <xf numFmtId="0" fontId="0" fillId="8" borderId="0" xfId="0" applyFill="1"/>
    <xf numFmtId="0" fontId="42" fillId="3" borderId="0" xfId="0" applyFont="1" applyFill="1" applyAlignment="1">
      <alignment horizontal="left" vertical="center" indent="2"/>
    </xf>
    <xf numFmtId="0" fontId="28" fillId="7" borderId="0" xfId="0" applyFont="1" applyFill="1"/>
    <xf numFmtId="0" fontId="0" fillId="9" borderId="0" xfId="0" applyFill="1"/>
    <xf numFmtId="0" fontId="4" fillId="9" borderId="0" xfId="0" applyFont="1" applyFill="1"/>
    <xf numFmtId="0" fontId="4" fillId="7" borderId="0" xfId="0" applyFont="1" applyFill="1"/>
    <xf numFmtId="0" fontId="42" fillId="6" borderId="0" xfId="0" applyFont="1" applyFill="1" applyAlignment="1">
      <alignment horizontal="left" vertical="center" indent="2"/>
    </xf>
    <xf numFmtId="0" fontId="0" fillId="7" borderId="0" xfId="0" applyFill="1" applyAlignment="1">
      <alignment horizontal="left" indent="2"/>
    </xf>
    <xf numFmtId="0" fontId="14" fillId="2" borderId="0" xfId="0" applyFont="1" applyFill="1" applyAlignment="1">
      <alignment horizontal="left" vertical="center" wrapText="1" indent="2"/>
    </xf>
    <xf numFmtId="0" fontId="0" fillId="0" borderId="0" xfId="0" applyAlignment="1">
      <alignment horizontal="left" vertical="center" indent="2"/>
    </xf>
    <xf numFmtId="0" fontId="33" fillId="0" borderId="0" xfId="0" applyFont="1" applyAlignment="1">
      <alignment horizontal="left" vertical="center" indent="2"/>
    </xf>
    <xf numFmtId="0" fontId="1" fillId="2" borderId="0" xfId="0" applyFont="1" applyFill="1" applyAlignment="1">
      <alignment horizontal="left" vertical="center" indent="2"/>
    </xf>
    <xf numFmtId="0" fontId="43" fillId="2" borderId="0" xfId="0" applyFont="1" applyFill="1" applyAlignment="1">
      <alignment horizontal="left" vertical="center" indent="2"/>
    </xf>
    <xf numFmtId="0" fontId="43" fillId="2" borderId="0" xfId="0" applyFont="1" applyFill="1" applyAlignment="1">
      <alignment horizontal="left" vertical="center" wrapText="1" indent="2"/>
    </xf>
    <xf numFmtId="0" fontId="0" fillId="7" borderId="0" xfId="0" applyFill="1" applyAlignment="1">
      <alignment horizontal="left" vertical="center" indent="2"/>
    </xf>
    <xf numFmtId="0" fontId="0" fillId="7" borderId="0" xfId="0" applyFill="1" applyAlignment="1">
      <alignment horizontal="left" vertical="center" wrapText="1" indent="2"/>
    </xf>
    <xf numFmtId="0" fontId="0" fillId="7" borderId="0" xfId="0" applyFill="1" applyAlignment="1">
      <alignment vertical="center" wrapText="1"/>
    </xf>
    <xf numFmtId="0" fontId="27" fillId="7" borderId="0" xfId="3" applyFill="1" applyAlignment="1">
      <alignment vertical="center" wrapText="1"/>
    </xf>
    <xf numFmtId="0" fontId="21" fillId="7" borderId="0" xfId="3" applyFont="1" applyFill="1" applyAlignment="1">
      <alignment horizontal="left" vertical="center" wrapText="1" indent="2"/>
    </xf>
    <xf numFmtId="0" fontId="21" fillId="7" borderId="0" xfId="3" applyFont="1" applyFill="1" applyAlignment="1">
      <alignment vertical="center" wrapText="1"/>
    </xf>
    <xf numFmtId="0" fontId="2" fillId="7" borderId="0" xfId="0" applyFont="1" applyFill="1" applyAlignment="1">
      <alignment horizontal="left" wrapText="1" indent="2"/>
    </xf>
    <xf numFmtId="0" fontId="2" fillId="7" borderId="0" xfId="0" applyFont="1" applyFill="1" applyAlignment="1">
      <alignment wrapText="1"/>
    </xf>
    <xf numFmtId="0" fontId="0" fillId="7" borderId="0" xfId="0" applyFill="1" applyAlignment="1">
      <alignment horizontal="left" wrapText="1" indent="4"/>
    </xf>
    <xf numFmtId="0" fontId="1" fillId="7" borderId="0" xfId="0" applyFont="1" applyFill="1" applyAlignment="1">
      <alignment horizontal="left" wrapText="1"/>
    </xf>
    <xf numFmtId="0" fontId="0" fillId="7" borderId="0" xfId="0" applyFill="1" applyAlignment="1">
      <alignment horizontal="left" vertical="center" wrapText="1" indent="4"/>
    </xf>
    <xf numFmtId="0" fontId="0" fillId="7" borderId="0" xfId="0" applyFill="1" applyAlignment="1">
      <alignment wrapText="1"/>
    </xf>
    <xf numFmtId="0" fontId="0" fillId="0" borderId="0" xfId="0" applyAlignment="1">
      <alignment horizontal="center"/>
    </xf>
    <xf numFmtId="0" fontId="40" fillId="0" borderId="0" xfId="0" applyFont="1" applyAlignment="1">
      <alignment vertical="center"/>
    </xf>
    <xf numFmtId="0" fontId="40" fillId="7" borderId="0" xfId="0" applyFont="1" applyFill="1" applyAlignment="1">
      <alignment vertical="center"/>
    </xf>
    <xf numFmtId="0" fontId="4" fillId="7" borderId="0" xfId="0" applyFont="1" applyFill="1" applyAlignment="1">
      <alignment horizontal="center" vertical="center"/>
    </xf>
    <xf numFmtId="0" fontId="4" fillId="7" borderId="0" xfId="0" applyFont="1" applyFill="1" applyAlignment="1">
      <alignment vertical="center"/>
    </xf>
    <xf numFmtId="0" fontId="0" fillId="7" borderId="0" xfId="0" applyFill="1" applyAlignment="1">
      <alignment vertical="center"/>
    </xf>
    <xf numFmtId="0" fontId="0" fillId="0" borderId="0" xfId="0" applyAlignment="1">
      <alignment vertical="center"/>
    </xf>
    <xf numFmtId="0" fontId="8" fillId="7" borderId="0" xfId="0" applyFont="1" applyFill="1" applyAlignment="1">
      <alignment vertical="center"/>
    </xf>
    <xf numFmtId="0" fontId="4" fillId="9" borderId="0" xfId="0" applyFont="1" applyFill="1" applyAlignment="1">
      <alignment vertical="center"/>
    </xf>
    <xf numFmtId="0" fontId="4" fillId="9" borderId="0" xfId="0" applyFont="1" applyFill="1" applyAlignment="1">
      <alignment horizontal="left" indent="1"/>
    </xf>
    <xf numFmtId="49" fontId="4" fillId="9" borderId="0" xfId="0" applyNumberFormat="1" applyFont="1" applyFill="1" applyAlignment="1" applyProtection="1">
      <alignment horizontal="center" vertical="center"/>
      <protection locked="0"/>
    </xf>
    <xf numFmtId="0" fontId="4" fillId="9" borderId="0" xfId="0" applyFont="1" applyFill="1" applyAlignment="1">
      <alignment horizontal="left" vertical="center"/>
    </xf>
    <xf numFmtId="0" fontId="40" fillId="9" borderId="0" xfId="0" applyFont="1" applyFill="1" applyAlignment="1">
      <alignment horizontal="left" vertical="center" indent="1"/>
    </xf>
    <xf numFmtId="10" fontId="41" fillId="9" borderId="0" xfId="0" applyNumberFormat="1" applyFont="1" applyFill="1" applyAlignment="1">
      <alignment horizontal="left" indent="1"/>
    </xf>
    <xf numFmtId="0" fontId="0" fillId="7" borderId="0" xfId="0" applyFill="1" applyAlignment="1">
      <alignment horizontal="center" vertical="center"/>
    </xf>
    <xf numFmtId="0" fontId="0" fillId="9" borderId="0" xfId="0" applyFill="1" applyAlignment="1">
      <alignment horizontal="center" vertical="center"/>
    </xf>
    <xf numFmtId="0" fontId="4" fillId="9" borderId="0" xfId="0" applyFont="1" applyFill="1" applyAlignment="1">
      <alignment horizontal="center" vertical="center"/>
    </xf>
    <xf numFmtId="0" fontId="40" fillId="9" borderId="0" xfId="0" applyFont="1" applyFill="1" applyAlignment="1">
      <alignment horizontal="center" vertical="center"/>
    </xf>
    <xf numFmtId="0" fontId="2" fillId="0" borderId="0" xfId="0" applyFont="1" applyAlignment="1">
      <alignment vertical="center"/>
    </xf>
    <xf numFmtId="0" fontId="29" fillId="0" borderId="0" xfId="0" applyFont="1" applyAlignment="1">
      <alignment horizontal="left" vertical="center" indent="2"/>
    </xf>
    <xf numFmtId="0" fontId="12" fillId="0" borderId="0" xfId="0" applyFont="1" applyAlignment="1">
      <alignment horizontal="left" vertical="center" indent="2"/>
    </xf>
    <xf numFmtId="0" fontId="30" fillId="0" borderId="0" xfId="0" applyFont="1" applyAlignment="1">
      <alignment horizontal="left" vertical="center" indent="2"/>
    </xf>
    <xf numFmtId="0" fontId="42" fillId="7" borderId="0" xfId="0" applyFont="1" applyFill="1" applyAlignment="1">
      <alignment horizontal="left" vertical="center" indent="2"/>
    </xf>
    <xf numFmtId="0" fontId="4" fillId="4" borderId="13" xfId="0" applyFont="1" applyFill="1" applyBorder="1" applyAlignment="1">
      <alignment horizontal="left" vertical="center" indent="2"/>
    </xf>
    <xf numFmtId="0" fontId="4" fillId="4" borderId="15" xfId="0" applyFont="1" applyFill="1" applyBorder="1" applyAlignment="1">
      <alignment horizontal="left" vertical="center" indent="2"/>
    </xf>
    <xf numFmtId="0" fontId="4" fillId="4" borderId="17" xfId="0" applyFont="1" applyFill="1" applyBorder="1" applyAlignment="1">
      <alignment horizontal="left" vertical="center" indent="2"/>
    </xf>
    <xf numFmtId="0" fontId="3" fillId="7" borderId="0" xfId="0" applyFont="1" applyFill="1" applyAlignment="1">
      <alignment horizontal="center" vertical="center"/>
    </xf>
    <xf numFmtId="0" fontId="2" fillId="7" borderId="0" xfId="0" applyFont="1" applyFill="1" applyAlignment="1">
      <alignment horizontal="left" vertical="center" indent="2"/>
    </xf>
    <xf numFmtId="0" fontId="3" fillId="7" borderId="0" xfId="0" applyFont="1" applyFill="1" applyAlignment="1">
      <alignment horizontal="left" vertical="center" indent="2"/>
    </xf>
    <xf numFmtId="0" fontId="0" fillId="0" borderId="0" xfId="0" applyAlignment="1">
      <alignment horizontal="left" indent="4"/>
    </xf>
    <xf numFmtId="0" fontId="0" fillId="6" borderId="0" xfId="0" applyFill="1" applyAlignment="1">
      <alignment horizontal="center" vertical="center"/>
    </xf>
    <xf numFmtId="0" fontId="2" fillId="7" borderId="0" xfId="0" applyFont="1" applyFill="1" applyAlignment="1">
      <alignment horizontal="center" vertical="center"/>
    </xf>
    <xf numFmtId="0" fontId="2" fillId="10" borderId="12" xfId="0" applyFont="1" applyFill="1" applyBorder="1" applyAlignment="1">
      <alignment horizontal="center" vertical="center"/>
    </xf>
    <xf numFmtId="0" fontId="0" fillId="10" borderId="20" xfId="0" applyFill="1" applyBorder="1" applyAlignment="1">
      <alignment horizontal="center" vertical="center"/>
    </xf>
    <xf numFmtId="0" fontId="6" fillId="7" borderId="0" xfId="0" applyFont="1" applyFill="1" applyAlignment="1">
      <alignment horizontal="center" vertical="center"/>
    </xf>
    <xf numFmtId="0" fontId="44" fillId="2" borderId="0" xfId="0" applyFont="1" applyFill="1" applyAlignment="1">
      <alignment horizontal="left" vertical="center" wrapText="1" indent="2"/>
    </xf>
    <xf numFmtId="0" fontId="2" fillId="7" borderId="0" xfId="0" applyFont="1" applyFill="1" applyAlignment="1">
      <alignment horizontal="left" indent="4"/>
    </xf>
    <xf numFmtId="0" fontId="2" fillId="7" borderId="0" xfId="0" applyFont="1" applyFill="1" applyAlignment="1">
      <alignment horizontal="center"/>
    </xf>
    <xf numFmtId="9" fontId="1" fillId="4" borderId="21" xfId="1" applyFill="1" applyBorder="1" applyAlignment="1">
      <alignment horizontal="center" vertical="center"/>
    </xf>
    <xf numFmtId="0" fontId="4" fillId="4" borderId="19" xfId="0" applyFont="1" applyFill="1" applyBorder="1" applyAlignment="1">
      <alignment horizontal="left" vertical="center" indent="2"/>
    </xf>
    <xf numFmtId="9" fontId="0" fillId="4" borderId="23" xfId="1" applyFont="1" applyFill="1" applyBorder="1" applyAlignment="1">
      <alignment horizontal="center" vertical="center"/>
    </xf>
    <xf numFmtId="9" fontId="0" fillId="4" borderId="20" xfId="1" applyFont="1" applyFill="1" applyBorder="1" applyAlignment="1">
      <alignment horizontal="center" vertical="center"/>
    </xf>
    <xf numFmtId="9" fontId="1" fillId="4" borderId="16" xfId="1" applyFill="1" applyBorder="1" applyAlignment="1">
      <alignment horizontal="center" vertical="center"/>
    </xf>
    <xf numFmtId="9" fontId="2" fillId="4" borderId="24" xfId="1" applyFont="1" applyFill="1" applyBorder="1" applyAlignment="1">
      <alignment horizontal="center" vertical="center"/>
    </xf>
    <xf numFmtId="9" fontId="2" fillId="4" borderId="18" xfId="1" applyFont="1" applyFill="1" applyBorder="1" applyAlignment="1">
      <alignment horizontal="center" vertical="center"/>
    </xf>
    <xf numFmtId="0" fontId="2" fillId="10" borderId="25" xfId="0" applyFont="1" applyFill="1" applyBorder="1" applyAlignment="1">
      <alignment horizontal="center" vertical="center" wrapText="1"/>
    </xf>
    <xf numFmtId="0" fontId="2" fillId="10" borderId="26" xfId="0" applyFont="1" applyFill="1" applyBorder="1" applyAlignment="1">
      <alignment horizontal="center" vertical="center" wrapText="1"/>
    </xf>
    <xf numFmtId="0" fontId="0" fillId="10" borderId="12" xfId="0" applyFill="1" applyBorder="1" applyAlignment="1">
      <alignment horizontal="center" vertical="center"/>
    </xf>
    <xf numFmtId="0" fontId="3" fillId="10" borderId="12" xfId="0" applyFont="1" applyFill="1" applyBorder="1" applyAlignment="1">
      <alignment horizontal="center" vertical="center"/>
    </xf>
    <xf numFmtId="0" fontId="4" fillId="4" borderId="27" xfId="0" applyFont="1" applyFill="1" applyBorder="1" applyAlignment="1">
      <alignment horizontal="left" vertical="center" indent="2"/>
    </xf>
    <xf numFmtId="0" fontId="4" fillId="4" borderId="29" xfId="0" applyFont="1" applyFill="1" applyBorder="1" applyAlignment="1">
      <alignment horizontal="left" vertical="center" indent="2"/>
    </xf>
    <xf numFmtId="9" fontId="0" fillId="4" borderId="16" xfId="0" applyNumberFormat="1" applyFill="1" applyBorder="1" applyAlignment="1">
      <alignment horizontal="center" vertical="center"/>
    </xf>
    <xf numFmtId="165" fontId="2" fillId="4" borderId="18" xfId="2" applyNumberFormat="1" applyFont="1" applyFill="1" applyBorder="1" applyAlignment="1">
      <alignment horizontal="center" vertical="center"/>
    </xf>
    <xf numFmtId="9" fontId="0" fillId="4" borderId="28" xfId="0" applyNumberFormat="1" applyFill="1" applyBorder="1" applyAlignment="1">
      <alignment horizontal="center" vertical="center"/>
    </xf>
    <xf numFmtId="6" fontId="2" fillId="4" borderId="30" xfId="0" applyNumberFormat="1" applyFont="1" applyFill="1" applyBorder="1" applyAlignment="1">
      <alignment horizontal="center" vertical="center"/>
    </xf>
    <xf numFmtId="165" fontId="12" fillId="4" borderId="22" xfId="2" applyNumberFormat="1" applyFont="1" applyFill="1" applyBorder="1" applyAlignment="1">
      <alignment horizontal="center" vertical="center"/>
    </xf>
    <xf numFmtId="0" fontId="2" fillId="7" borderId="0" xfId="0" applyFont="1" applyFill="1"/>
    <xf numFmtId="0" fontId="0" fillId="6" borderId="0" xfId="0" applyFill="1" applyAlignment="1">
      <alignment vertical="center"/>
    </xf>
    <xf numFmtId="0" fontId="2" fillId="7" borderId="0" xfId="0" applyFont="1" applyFill="1" applyAlignment="1">
      <alignment vertical="center"/>
    </xf>
    <xf numFmtId="0" fontId="5" fillId="0" borderId="0" xfId="0" applyFont="1" applyAlignment="1">
      <alignment vertical="center" wrapText="1"/>
    </xf>
    <xf numFmtId="0" fontId="2" fillId="0" borderId="0" xfId="0" applyFont="1" applyAlignment="1">
      <alignment horizontal="left" vertical="center" indent="2"/>
    </xf>
    <xf numFmtId="0" fontId="9" fillId="2" borderId="0" xfId="0" applyFont="1" applyFill="1" applyAlignment="1">
      <alignment horizontal="left" vertical="center" wrapText="1" indent="2"/>
    </xf>
    <xf numFmtId="0" fontId="9" fillId="2" borderId="11" xfId="0" applyFont="1" applyFill="1" applyBorder="1" applyAlignment="1">
      <alignment horizontal="left" vertical="center" indent="2"/>
    </xf>
    <xf numFmtId="0" fontId="9" fillId="2" borderId="19" xfId="0" applyFont="1" applyFill="1" applyBorder="1" applyAlignment="1">
      <alignment horizontal="left" vertical="center" indent="2"/>
    </xf>
    <xf numFmtId="0" fontId="9" fillId="10" borderId="11" xfId="0" applyFont="1" applyFill="1" applyBorder="1" applyAlignment="1">
      <alignment horizontal="left" vertical="center" indent="2"/>
    </xf>
    <xf numFmtId="0" fontId="8" fillId="0" borderId="0" xfId="0" applyFont="1" applyAlignment="1">
      <alignment vertical="center"/>
    </xf>
    <xf numFmtId="0" fontId="35" fillId="0" borderId="0" xfId="0" applyFont="1" applyAlignment="1">
      <alignment vertical="center"/>
    </xf>
    <xf numFmtId="0" fontId="41" fillId="0" borderId="0" xfId="0" applyFont="1" applyAlignment="1">
      <alignment vertical="center"/>
    </xf>
    <xf numFmtId="165" fontId="4" fillId="0" borderId="0" xfId="1" applyNumberFormat="1" applyFont="1" applyAlignment="1">
      <alignment horizontal="center" vertical="center"/>
    </xf>
    <xf numFmtId="0" fontId="4" fillId="0" borderId="0" xfId="0" applyFont="1" applyAlignment="1">
      <alignment horizontal="left" vertical="center" wrapText="1" indent="2"/>
    </xf>
    <xf numFmtId="0" fontId="4" fillId="0" borderId="0" xfId="0" applyFont="1" applyAlignment="1">
      <alignment horizontal="left" vertical="center" indent="2"/>
    </xf>
    <xf numFmtId="0" fontId="36" fillId="0" borderId="0" xfId="0" applyFont="1" applyAlignment="1">
      <alignment vertical="center"/>
    </xf>
    <xf numFmtId="0" fontId="8" fillId="10" borderId="0" xfId="0" applyFont="1" applyFill="1" applyAlignment="1">
      <alignment vertical="center"/>
    </xf>
    <xf numFmtId="0" fontId="29" fillId="11" borderId="0" xfId="0" applyFont="1" applyFill="1" applyAlignment="1">
      <alignment horizontal="center" vertical="center"/>
    </xf>
    <xf numFmtId="0" fontId="8" fillId="7" borderId="0" xfId="0" applyFont="1" applyFill="1" applyAlignment="1">
      <alignment horizontal="left" vertical="center" indent="2"/>
    </xf>
    <xf numFmtId="10" fontId="8" fillId="7" borderId="0" xfId="1" applyNumberFormat="1" applyFont="1" applyFill="1" applyAlignment="1">
      <alignment horizontal="center" vertical="center"/>
    </xf>
    <xf numFmtId="0" fontId="8" fillId="7" borderId="0" xfId="0" applyFont="1" applyFill="1" applyAlignment="1">
      <alignment horizontal="center" vertical="center"/>
    </xf>
    <xf numFmtId="0" fontId="35" fillId="7" borderId="0" xfId="0" applyFont="1" applyFill="1" applyAlignment="1">
      <alignment horizontal="left" vertical="center" indent="2"/>
    </xf>
    <xf numFmtId="0" fontId="35" fillId="7" borderId="0" xfId="0" applyFont="1" applyFill="1" applyAlignment="1">
      <alignment vertical="center"/>
    </xf>
    <xf numFmtId="0" fontId="41" fillId="7" borderId="0" xfId="0" applyFont="1" applyFill="1" applyAlignment="1">
      <alignment vertical="center"/>
    </xf>
    <xf numFmtId="6" fontId="4" fillId="7" borderId="0" xfId="0" applyNumberFormat="1" applyFont="1" applyFill="1" applyAlignment="1">
      <alignment horizontal="center" vertical="center"/>
    </xf>
    <xf numFmtId="0" fontId="9" fillId="2" borderId="31" xfId="0" applyFont="1" applyFill="1" applyBorder="1" applyAlignment="1">
      <alignment horizontal="left" vertical="center" indent="2"/>
    </xf>
    <xf numFmtId="0" fontId="8" fillId="10" borderId="32" xfId="0" applyFont="1" applyFill="1" applyBorder="1" applyAlignment="1">
      <alignment vertical="center"/>
    </xf>
    <xf numFmtId="0" fontId="4" fillId="4" borderId="33" xfId="0" applyFont="1" applyFill="1" applyBorder="1" applyAlignment="1">
      <alignment horizontal="left" vertical="center" indent="2"/>
    </xf>
    <xf numFmtId="9" fontId="4" fillId="4" borderId="34" xfId="1" applyFont="1" applyFill="1" applyBorder="1" applyAlignment="1">
      <alignment horizontal="center" vertical="center"/>
    </xf>
    <xf numFmtId="0" fontId="4" fillId="4" borderId="35" xfId="0" applyFont="1" applyFill="1" applyBorder="1" applyAlignment="1">
      <alignment horizontal="left" vertical="center" indent="2"/>
    </xf>
    <xf numFmtId="9" fontId="8" fillId="4" borderId="36" xfId="1" applyFont="1" applyFill="1" applyBorder="1" applyAlignment="1">
      <alignment horizontal="center" vertical="center"/>
    </xf>
    <xf numFmtId="0" fontId="8" fillId="10" borderId="12" xfId="0" applyFont="1" applyFill="1" applyBorder="1" applyAlignment="1">
      <alignment vertical="center"/>
    </xf>
    <xf numFmtId="0" fontId="36" fillId="2" borderId="11" xfId="0" applyFont="1" applyFill="1" applyBorder="1" applyAlignment="1">
      <alignment horizontal="left" vertical="center" indent="2"/>
    </xf>
    <xf numFmtId="0" fontId="41" fillId="10" borderId="12" xfId="0" applyFont="1" applyFill="1" applyBorder="1" applyAlignment="1">
      <alignment vertical="center"/>
    </xf>
    <xf numFmtId="0" fontId="36" fillId="2" borderId="37" xfId="0" applyFont="1" applyFill="1" applyBorder="1" applyAlignment="1">
      <alignment horizontal="left" vertical="center" indent="2"/>
    </xf>
    <xf numFmtId="6" fontId="8" fillId="4" borderId="38" xfId="0" applyNumberFormat="1" applyFont="1" applyFill="1" applyBorder="1" applyAlignment="1">
      <alignment horizontal="center" vertical="center"/>
    </xf>
    <xf numFmtId="10" fontId="4" fillId="4" borderId="14" xfId="0" applyNumberFormat="1" applyFont="1" applyFill="1" applyBorder="1" applyAlignment="1">
      <alignment horizontal="center" vertical="center"/>
    </xf>
    <xf numFmtId="166" fontId="8" fillId="4" borderId="18" xfId="0" applyNumberFormat="1" applyFont="1" applyFill="1" applyBorder="1" applyAlignment="1">
      <alignment horizontal="center" vertical="center"/>
    </xf>
    <xf numFmtId="6" fontId="8" fillId="4" borderId="18" xfId="0" applyNumberFormat="1" applyFont="1" applyFill="1" applyBorder="1" applyAlignment="1">
      <alignment horizontal="center" vertical="center"/>
    </xf>
    <xf numFmtId="9" fontId="4" fillId="4" borderId="20" xfId="1" applyFont="1" applyFill="1" applyBorder="1" applyAlignment="1">
      <alignment horizontal="center" vertical="center"/>
    </xf>
    <xf numFmtId="0" fontId="4" fillId="4" borderId="16" xfId="0" applyFont="1" applyFill="1" applyBorder="1" applyAlignment="1">
      <alignment horizontal="center" vertical="center"/>
    </xf>
    <xf numFmtId="0" fontId="8" fillId="4" borderId="17" xfId="0" applyFont="1" applyFill="1" applyBorder="1" applyAlignment="1">
      <alignment horizontal="left" vertical="center" indent="2"/>
    </xf>
    <xf numFmtId="10" fontId="8" fillId="4" borderId="18" xfId="1" applyNumberFormat="1" applyFont="1" applyFill="1" applyBorder="1" applyAlignment="1">
      <alignment horizontal="center" vertical="center"/>
    </xf>
    <xf numFmtId="9" fontId="4" fillId="4" borderId="14" xfId="1" applyFont="1" applyFill="1" applyBorder="1" applyAlignment="1">
      <alignment horizontal="center" vertical="center"/>
    </xf>
    <xf numFmtId="0" fontId="45" fillId="7" borderId="0" xfId="0" applyFont="1" applyFill="1" applyAlignment="1">
      <alignment horizontal="left" vertical="center" wrapText="1"/>
    </xf>
    <xf numFmtId="0" fontId="2" fillId="9" borderId="0" xfId="0" applyFont="1" applyFill="1" applyAlignment="1">
      <alignment horizontal="left" vertical="center" indent="2"/>
    </xf>
    <xf numFmtId="0" fontId="2" fillId="9" borderId="0" xfId="0" applyFont="1" applyFill="1" applyAlignment="1">
      <alignment vertical="center"/>
    </xf>
    <xf numFmtId="0" fontId="7" fillId="0" borderId="0" xfId="0" applyFont="1" applyAlignment="1">
      <alignment vertical="center" wrapText="1"/>
    </xf>
    <xf numFmtId="0" fontId="5" fillId="3" borderId="0" xfId="0" applyFont="1" applyFill="1" applyAlignment="1">
      <alignment horizontal="center" vertical="center" wrapText="1"/>
    </xf>
    <xf numFmtId="2" fontId="5" fillId="3" borderId="0" xfId="0" applyNumberFormat="1" applyFont="1" applyFill="1" applyAlignment="1">
      <alignment horizontal="center" vertical="center" wrapText="1"/>
    </xf>
    <xf numFmtId="9" fontId="5" fillId="3" borderId="0" xfId="1" applyFont="1" applyFill="1" applyAlignment="1">
      <alignment horizontal="center" vertical="center" wrapText="1"/>
    </xf>
    <xf numFmtId="0" fontId="9" fillId="10" borderId="0" xfId="0" applyFont="1" applyFill="1" applyAlignment="1">
      <alignment vertical="center"/>
    </xf>
    <xf numFmtId="0" fontId="2" fillId="10" borderId="0" xfId="0" applyFont="1" applyFill="1" applyAlignment="1">
      <alignment vertical="center"/>
    </xf>
    <xf numFmtId="0" fontId="0" fillId="7" borderId="0" xfId="0" applyFill="1" applyAlignment="1">
      <alignment horizontal="right" vertical="center"/>
    </xf>
    <xf numFmtId="0" fontId="3" fillId="7" borderId="0" xfId="0" applyFont="1" applyFill="1" applyAlignment="1">
      <alignment vertical="center"/>
    </xf>
    <xf numFmtId="0" fontId="5" fillId="7" borderId="0" xfId="0" applyFont="1" applyFill="1" applyAlignment="1">
      <alignment vertical="center"/>
    </xf>
    <xf numFmtId="0" fontId="0" fillId="7" borderId="0" xfId="0" applyFill="1" applyAlignment="1">
      <alignment horizontal="left" vertical="center"/>
    </xf>
    <xf numFmtId="0" fontId="4" fillId="4" borderId="39" xfId="0" applyFont="1" applyFill="1" applyBorder="1" applyAlignment="1">
      <alignment horizontal="left" vertical="center" indent="2"/>
    </xf>
    <xf numFmtId="0" fontId="4" fillId="4" borderId="41" xfId="0" applyFont="1" applyFill="1" applyBorder="1" applyAlignment="1">
      <alignment horizontal="left" vertical="center" indent="2"/>
    </xf>
    <xf numFmtId="0" fontId="2" fillId="4" borderId="42" xfId="0" applyFont="1" applyFill="1" applyBorder="1" applyAlignment="1">
      <alignment vertical="center"/>
    </xf>
    <xf numFmtId="0" fontId="4" fillId="4" borderId="43" xfId="0" applyFont="1" applyFill="1" applyBorder="1" applyAlignment="1">
      <alignment horizontal="left" vertical="center" indent="2"/>
    </xf>
    <xf numFmtId="2" fontId="0" fillId="4" borderId="16" xfId="0" applyNumberFormat="1" applyFill="1" applyBorder="1" applyAlignment="1">
      <alignment horizontal="center" vertical="center"/>
    </xf>
    <xf numFmtId="0" fontId="4" fillId="4" borderId="40" xfId="0" applyFont="1" applyFill="1" applyBorder="1" applyAlignment="1">
      <alignment vertical="center"/>
    </xf>
    <xf numFmtId="0" fontId="4" fillId="4" borderId="44" xfId="0" applyFont="1" applyFill="1" applyBorder="1" applyAlignment="1">
      <alignment vertical="center"/>
    </xf>
    <xf numFmtId="0" fontId="9" fillId="2" borderId="37" xfId="0" applyFont="1" applyFill="1" applyBorder="1" applyAlignment="1">
      <alignment horizontal="left" vertical="center" indent="2"/>
    </xf>
    <xf numFmtId="0" fontId="0" fillId="4" borderId="40" xfId="0" applyFill="1" applyBorder="1" applyAlignment="1">
      <alignment vertical="center"/>
    </xf>
    <xf numFmtId="0" fontId="3" fillId="4" borderId="44" xfId="0" applyFont="1" applyFill="1" applyBorder="1" applyAlignment="1">
      <alignment vertical="center"/>
    </xf>
    <xf numFmtId="0" fontId="0" fillId="10" borderId="45" xfId="0" applyFill="1" applyBorder="1" applyAlignment="1">
      <alignment vertical="center"/>
    </xf>
    <xf numFmtId="9" fontId="0" fillId="4" borderId="14" xfId="0" applyNumberFormat="1" applyFill="1" applyBorder="1" applyAlignment="1">
      <alignment horizontal="center" vertical="center"/>
    </xf>
    <xf numFmtId="0" fontId="29" fillId="7" borderId="0" xfId="0" applyFont="1" applyFill="1" applyAlignment="1">
      <alignment horizontal="left" vertical="center" wrapText="1" indent="2"/>
    </xf>
    <xf numFmtId="0" fontId="29" fillId="11" borderId="0" xfId="0" applyFont="1" applyFill="1" applyAlignment="1">
      <alignment vertical="center" wrapText="1"/>
    </xf>
    <xf numFmtId="0" fontId="29" fillId="7" borderId="0" xfId="0" applyFont="1" applyFill="1" applyAlignment="1">
      <alignment vertical="center" wrapText="1"/>
    </xf>
    <xf numFmtId="0" fontId="0" fillId="0" borderId="0" xfId="0" applyAlignment="1">
      <alignment horizontal="left" indent="2"/>
    </xf>
    <xf numFmtId="165" fontId="0" fillId="7" borderId="0" xfId="0" applyNumberFormat="1" applyFill="1" applyAlignment="1">
      <alignment horizontal="center" vertical="center"/>
    </xf>
    <xf numFmtId="49" fontId="4" fillId="7" borderId="0" xfId="0" applyNumberFormat="1" applyFont="1" applyFill="1" applyAlignment="1">
      <alignment vertical="center"/>
    </xf>
    <xf numFmtId="0" fontId="29" fillId="3" borderId="0" xfId="0" applyFont="1" applyFill="1" applyAlignment="1">
      <alignment vertical="center"/>
    </xf>
    <xf numFmtId="0" fontId="18" fillId="3" borderId="0" xfId="0" applyFont="1" applyFill="1" applyAlignment="1">
      <alignment horizontal="center" vertical="center"/>
    </xf>
    <xf numFmtId="0" fontId="18" fillId="0" borderId="0" xfId="0" applyFont="1" applyAlignment="1">
      <alignment vertical="center"/>
    </xf>
    <xf numFmtId="0" fontId="23" fillId="3" borderId="0" xfId="0" applyFont="1" applyFill="1" applyAlignment="1">
      <alignment vertical="center"/>
    </xf>
    <xf numFmtId="0" fontId="3" fillId="0" borderId="0" xfId="0" applyFont="1" applyAlignment="1">
      <alignment vertical="center"/>
    </xf>
    <xf numFmtId="165" fontId="0" fillId="0" borderId="0" xfId="0" applyNumberFormat="1" applyAlignment="1">
      <alignment vertical="center"/>
    </xf>
    <xf numFmtId="0" fontId="29" fillId="3" borderId="0" xfId="0" applyFont="1" applyFill="1" applyAlignment="1">
      <alignment horizontal="left" vertical="center" indent="2"/>
    </xf>
    <xf numFmtId="0" fontId="5" fillId="0" borderId="0" xfId="0" applyFont="1" applyAlignment="1">
      <alignment horizontal="left" vertical="center" wrapText="1" indent="2"/>
    </xf>
    <xf numFmtId="0" fontId="18" fillId="11" borderId="0" xfId="0" applyFont="1" applyFill="1" applyAlignment="1">
      <alignment vertical="center"/>
    </xf>
    <xf numFmtId="0" fontId="29" fillId="11" borderId="0" xfId="0" applyFont="1" applyFill="1" applyAlignment="1">
      <alignment vertical="center"/>
    </xf>
    <xf numFmtId="0" fontId="23" fillId="11" borderId="0" xfId="0" applyFont="1" applyFill="1" applyAlignment="1">
      <alignment vertical="center"/>
    </xf>
    <xf numFmtId="0" fontId="2" fillId="4" borderId="25" xfId="0" applyFont="1" applyFill="1" applyBorder="1" applyAlignment="1">
      <alignment horizontal="left" vertical="center" indent="2"/>
    </xf>
    <xf numFmtId="9" fontId="0" fillId="7" borderId="0" xfId="1" applyFont="1" applyFill="1" applyBorder="1" applyAlignment="1">
      <alignment horizontal="center" vertical="center"/>
    </xf>
    <xf numFmtId="9" fontId="2" fillId="7" borderId="0" xfId="1" applyFont="1" applyFill="1" applyAlignment="1">
      <alignment vertical="center"/>
    </xf>
    <xf numFmtId="9" fontId="0" fillId="7" borderId="0" xfId="1" applyFont="1" applyFill="1" applyAlignment="1">
      <alignment vertical="center"/>
    </xf>
    <xf numFmtId="168" fontId="0" fillId="7" borderId="0" xfId="0" applyNumberFormat="1" applyFill="1" applyAlignment="1">
      <alignment horizontal="center" vertical="center"/>
    </xf>
    <xf numFmtId="0" fontId="5" fillId="7" borderId="0" xfId="0" applyFont="1" applyFill="1" applyAlignment="1">
      <alignment horizontal="left" vertical="center" wrapText="1" indent="2"/>
    </xf>
    <xf numFmtId="0" fontId="4" fillId="7" borderId="0" xfId="0" applyFont="1" applyFill="1" applyAlignment="1">
      <alignment horizontal="left" vertical="center" indent="2"/>
    </xf>
    <xf numFmtId="0" fontId="0" fillId="7" borderId="0" xfId="1" applyNumberFormat="1" applyFont="1" applyFill="1" applyAlignment="1">
      <alignment horizontal="center" vertical="center"/>
    </xf>
    <xf numFmtId="0" fontId="46" fillId="9" borderId="0" xfId="0" applyFont="1" applyFill="1" applyAlignment="1">
      <alignment horizontal="left" vertical="center" indent="2"/>
    </xf>
    <xf numFmtId="0" fontId="46" fillId="9" borderId="0" xfId="0" applyFont="1" applyFill="1" applyAlignment="1">
      <alignment horizontal="center" vertical="center"/>
    </xf>
    <xf numFmtId="0" fontId="46" fillId="9" borderId="0" xfId="0" applyFont="1" applyFill="1" applyAlignment="1">
      <alignment vertical="center"/>
    </xf>
    <xf numFmtId="0" fontId="18" fillId="3" borderId="0" xfId="0" applyFont="1" applyFill="1" applyAlignment="1">
      <alignment vertical="center"/>
    </xf>
    <xf numFmtId="2" fontId="0" fillId="0" borderId="0" xfId="0" applyNumberFormat="1" applyAlignment="1">
      <alignment vertical="center"/>
    </xf>
    <xf numFmtId="165" fontId="0" fillId="0" borderId="0" xfId="1" applyNumberFormat="1" applyFont="1" applyAlignment="1">
      <alignment horizontal="center" vertical="center"/>
    </xf>
    <xf numFmtId="165" fontId="0" fillId="0" borderId="0" xfId="1" applyNumberFormat="1" applyFont="1" applyAlignment="1">
      <alignment vertical="center"/>
    </xf>
    <xf numFmtId="164" fontId="1" fillId="7" borderId="0" xfId="1" applyNumberFormat="1" applyFill="1" applyAlignment="1">
      <alignment horizontal="center" vertical="center" wrapText="1"/>
    </xf>
    <xf numFmtId="0" fontId="18" fillId="7" borderId="0" xfId="0" applyFont="1" applyFill="1" applyAlignment="1">
      <alignment vertical="center"/>
    </xf>
    <xf numFmtId="6" fontId="0" fillId="7" borderId="0" xfId="0" applyNumberFormat="1" applyFill="1" applyAlignment="1">
      <alignment horizontal="center" vertical="center"/>
    </xf>
    <xf numFmtId="166" fontId="0" fillId="7" borderId="0" xfId="0" applyNumberFormat="1" applyFill="1" applyAlignment="1">
      <alignment horizontal="center" vertical="center"/>
    </xf>
    <xf numFmtId="166" fontId="5" fillId="7" borderId="0" xfId="0" applyNumberFormat="1" applyFont="1" applyFill="1" applyAlignment="1">
      <alignment horizontal="center" vertical="center" wrapText="1"/>
    </xf>
    <xf numFmtId="0" fontId="4" fillId="4" borderId="15" xfId="0" applyFont="1" applyFill="1" applyBorder="1" applyAlignment="1">
      <alignment horizontal="left" vertical="center" wrapText="1" indent="2"/>
    </xf>
    <xf numFmtId="0" fontId="18" fillId="7" borderId="0" xfId="0" applyFont="1" applyFill="1" applyAlignment="1">
      <alignment horizontal="left" vertical="center" indent="2"/>
    </xf>
    <xf numFmtId="0" fontId="4" fillId="4" borderId="33" xfId="0" applyFont="1" applyFill="1" applyBorder="1" applyAlignment="1">
      <alignment horizontal="left" vertical="center" wrapText="1" indent="2"/>
    </xf>
    <xf numFmtId="0" fontId="8" fillId="4" borderId="35" xfId="0" applyFont="1" applyFill="1" applyBorder="1" applyAlignment="1">
      <alignment horizontal="left" vertical="center" wrapText="1" indent="2"/>
    </xf>
    <xf numFmtId="9" fontId="1" fillId="7" borderId="0" xfId="1" applyFill="1" applyAlignment="1">
      <alignment horizontal="center" vertical="center"/>
    </xf>
    <xf numFmtId="0" fontId="18" fillId="7" borderId="0" xfId="0" applyFont="1" applyFill="1" applyAlignment="1">
      <alignment horizontal="center" vertical="center"/>
    </xf>
    <xf numFmtId="0" fontId="5" fillId="7" borderId="0" xfId="0" applyFont="1" applyFill="1" applyAlignment="1">
      <alignment horizontal="center" vertical="center" wrapText="1"/>
    </xf>
    <xf numFmtId="0" fontId="5" fillId="7" borderId="0" xfId="0" applyFont="1" applyFill="1" applyAlignment="1">
      <alignment horizontal="center" vertical="center"/>
    </xf>
    <xf numFmtId="0" fontId="2" fillId="0" borderId="0" xfId="0" applyFont="1" applyAlignment="1">
      <alignment horizontal="left" wrapText="1" indent="2"/>
    </xf>
    <xf numFmtId="0" fontId="0" fillId="0" borderId="0" xfId="0" applyAlignment="1">
      <alignment horizontal="left" wrapText="1" indent="2"/>
    </xf>
    <xf numFmtId="0" fontId="4" fillId="4" borderId="21" xfId="0" applyFont="1" applyFill="1" applyBorder="1" applyAlignment="1">
      <alignment horizontal="center" vertical="center"/>
    </xf>
    <xf numFmtId="164" fontId="4" fillId="4" borderId="21" xfId="1" applyNumberFormat="1" applyFont="1" applyFill="1" applyBorder="1" applyAlignment="1">
      <alignment horizontal="center" vertical="center" wrapText="1"/>
    </xf>
    <xf numFmtId="9" fontId="4" fillId="4" borderId="21" xfId="1" applyFont="1" applyFill="1" applyBorder="1" applyAlignment="1">
      <alignment horizontal="center" vertical="center" wrapText="1"/>
    </xf>
    <xf numFmtId="164" fontId="4" fillId="4" borderId="16" xfId="1" applyNumberFormat="1" applyFont="1" applyFill="1" applyBorder="1" applyAlignment="1">
      <alignment horizontal="center" vertical="center" wrapText="1"/>
    </xf>
    <xf numFmtId="9" fontId="4" fillId="4" borderId="21" xfId="1" applyFont="1" applyFill="1" applyBorder="1" applyAlignment="1">
      <alignment horizontal="center" vertical="center"/>
    </xf>
    <xf numFmtId="164" fontId="4" fillId="4" borderId="24" xfId="1" applyNumberFormat="1" applyFont="1" applyFill="1" applyBorder="1" applyAlignment="1">
      <alignment horizontal="center" vertical="center" wrapText="1"/>
    </xf>
    <xf numFmtId="9" fontId="4" fillId="4" borderId="24" xfId="1" applyFont="1" applyFill="1" applyBorder="1" applyAlignment="1">
      <alignment horizontal="center" vertical="center"/>
    </xf>
    <xf numFmtId="164" fontId="4" fillId="4" borderId="18" xfId="1" applyNumberFormat="1" applyFont="1" applyFill="1" applyBorder="1" applyAlignment="1">
      <alignment horizontal="center" vertical="center" wrapText="1"/>
    </xf>
    <xf numFmtId="164" fontId="39" fillId="4" borderId="21" xfId="1" applyNumberFormat="1" applyFont="1" applyFill="1" applyBorder="1" applyAlignment="1">
      <alignment horizontal="center" vertical="center"/>
    </xf>
    <xf numFmtId="10" fontId="39" fillId="4" borderId="21" xfId="1" applyNumberFormat="1" applyFont="1" applyFill="1" applyBorder="1" applyAlignment="1">
      <alignment horizontal="center" vertical="center"/>
    </xf>
    <xf numFmtId="10" fontId="39" fillId="4" borderId="34" xfId="1" applyNumberFormat="1" applyFont="1" applyFill="1" applyBorder="1" applyAlignment="1">
      <alignment horizontal="center" vertical="center"/>
    </xf>
    <xf numFmtId="0" fontId="8" fillId="4" borderId="47" xfId="0" applyFont="1" applyFill="1" applyBorder="1" applyAlignment="1">
      <alignment horizontal="center" vertical="center" wrapText="1"/>
    </xf>
    <xf numFmtId="10" fontId="8" fillId="4" borderId="47" xfId="0" applyNumberFormat="1" applyFont="1" applyFill="1" applyBorder="1" applyAlignment="1">
      <alignment horizontal="center" vertical="center"/>
    </xf>
    <xf numFmtId="10" fontId="8" fillId="4" borderId="36" xfId="0" applyNumberFormat="1" applyFont="1" applyFill="1" applyBorder="1" applyAlignment="1">
      <alignment horizontal="center" vertical="center"/>
    </xf>
    <xf numFmtId="168" fontId="4" fillId="4" borderId="20" xfId="0" applyNumberFormat="1" applyFont="1" applyFill="1" applyBorder="1" applyAlignment="1">
      <alignment horizontal="center" vertical="center"/>
    </xf>
    <xf numFmtId="168" fontId="4" fillId="4" borderId="16" xfId="0" applyNumberFormat="1" applyFont="1" applyFill="1" applyBorder="1" applyAlignment="1">
      <alignment horizontal="center" vertical="center"/>
    </xf>
    <xf numFmtId="168" fontId="8" fillId="4" borderId="18" xfId="1" applyNumberFormat="1" applyFont="1" applyFill="1" applyBorder="1" applyAlignment="1">
      <alignment horizontal="center" vertical="center"/>
    </xf>
    <xf numFmtId="9" fontId="4" fillId="4" borderId="16" xfId="1" applyFont="1" applyFill="1" applyBorder="1" applyAlignment="1">
      <alignment horizontal="center" vertical="center"/>
    </xf>
    <xf numFmtId="9" fontId="4" fillId="4" borderId="18" xfId="1" applyFont="1" applyFill="1" applyBorder="1" applyAlignment="1">
      <alignment horizontal="center" vertical="center"/>
    </xf>
    <xf numFmtId="0" fontId="4" fillId="4" borderId="21" xfId="0" applyFont="1" applyFill="1" applyBorder="1" applyAlignment="1">
      <alignment horizontal="left" vertical="center" indent="2"/>
    </xf>
    <xf numFmtId="0" fontId="0" fillId="9" borderId="0" xfId="0" applyFill="1" applyAlignment="1">
      <alignment horizontal="left" vertical="center" indent="2"/>
    </xf>
    <xf numFmtId="0" fontId="20" fillId="2" borderId="22" xfId="0" applyFont="1" applyFill="1" applyBorder="1" applyAlignment="1">
      <alignment horizontal="left" vertical="center" wrapText="1" indent="2"/>
    </xf>
    <xf numFmtId="166" fontId="12" fillId="0" borderId="22" xfId="0" applyNumberFormat="1" applyFont="1" applyBorder="1" applyAlignment="1">
      <alignment horizontal="left" vertical="center" wrapText="1" indent="2"/>
    </xf>
    <xf numFmtId="0" fontId="29" fillId="7" borderId="0" xfId="0" applyFont="1" applyFill="1" applyAlignment="1">
      <alignment horizontal="left" vertical="center" indent="2"/>
    </xf>
    <xf numFmtId="49" fontId="5" fillId="7" borderId="0" xfId="0" applyNumberFormat="1" applyFont="1" applyFill="1" applyAlignment="1">
      <alignment vertical="center"/>
    </xf>
    <xf numFmtId="0" fontId="8" fillId="10" borderId="45" xfId="0" applyFont="1" applyFill="1" applyBorder="1" applyAlignment="1">
      <alignment horizontal="center" vertical="center" wrapText="1"/>
    </xf>
    <xf numFmtId="0" fontId="8" fillId="10" borderId="38" xfId="0" applyFont="1" applyFill="1" applyBorder="1" applyAlignment="1">
      <alignment horizontal="center" vertical="center" wrapText="1"/>
    </xf>
    <xf numFmtId="0" fontId="3" fillId="10" borderId="38" xfId="0" applyFont="1" applyFill="1" applyBorder="1" applyAlignment="1">
      <alignment vertical="center"/>
    </xf>
    <xf numFmtId="0" fontId="0" fillId="10" borderId="38" xfId="0" applyFill="1" applyBorder="1" applyAlignment="1">
      <alignment vertical="center"/>
    </xf>
    <xf numFmtId="0" fontId="4" fillId="4" borderId="48" xfId="0" applyFont="1" applyFill="1" applyBorder="1" applyAlignment="1">
      <alignment horizontal="left" vertical="center" indent="2"/>
    </xf>
    <xf numFmtId="164" fontId="39" fillId="4" borderId="46" xfId="1" applyNumberFormat="1" applyFont="1" applyFill="1" applyBorder="1" applyAlignment="1">
      <alignment horizontal="center" vertical="center"/>
    </xf>
    <xf numFmtId="10" fontId="39" fillId="4" borderId="46" xfId="1" applyNumberFormat="1" applyFont="1" applyFill="1" applyBorder="1" applyAlignment="1">
      <alignment horizontal="center" vertical="center"/>
    </xf>
    <xf numFmtId="10" fontId="39" fillId="4" borderId="49" xfId="1" applyNumberFormat="1" applyFont="1" applyFill="1" applyBorder="1" applyAlignment="1">
      <alignment horizontal="center" vertical="center"/>
    </xf>
    <xf numFmtId="0" fontId="4" fillId="4" borderId="46" xfId="0" applyFont="1" applyFill="1" applyBorder="1" applyAlignment="1">
      <alignment horizontal="center" vertical="center"/>
    </xf>
    <xf numFmtId="164" fontId="4" fillId="4" borderId="46" xfId="1" applyNumberFormat="1" applyFont="1" applyFill="1" applyBorder="1" applyAlignment="1">
      <alignment horizontal="center" vertical="center" wrapText="1"/>
    </xf>
    <xf numFmtId="9" fontId="4" fillId="4" borderId="46" xfId="1" applyFont="1" applyFill="1" applyBorder="1" applyAlignment="1">
      <alignment horizontal="center" vertical="center" wrapText="1"/>
    </xf>
    <xf numFmtId="164" fontId="4" fillId="4" borderId="14" xfId="1" applyNumberFormat="1" applyFont="1" applyFill="1" applyBorder="1" applyAlignment="1">
      <alignment horizontal="center" vertical="center" wrapText="1"/>
    </xf>
    <xf numFmtId="166" fontId="0" fillId="10" borderId="38" xfId="0" applyNumberFormat="1" applyFill="1" applyBorder="1" applyAlignment="1">
      <alignment horizontal="center" vertical="center"/>
    </xf>
    <xf numFmtId="0" fontId="3" fillId="10" borderId="38" xfId="0" applyFont="1" applyFill="1" applyBorder="1" applyAlignment="1">
      <alignment horizontal="center" vertical="center"/>
    </xf>
    <xf numFmtId="0" fontId="9" fillId="10" borderId="37" xfId="0" applyFont="1" applyFill="1" applyBorder="1" applyAlignment="1">
      <alignment horizontal="left" vertical="center" wrapText="1" indent="2"/>
    </xf>
    <xf numFmtId="49" fontId="8" fillId="10" borderId="45" xfId="0" applyNumberFormat="1" applyFont="1" applyFill="1" applyBorder="1" applyAlignment="1">
      <alignment horizontal="center" vertical="center" wrapText="1"/>
    </xf>
    <xf numFmtId="0" fontId="8" fillId="10" borderId="38" xfId="0" applyFont="1" applyFill="1" applyBorder="1" applyAlignment="1">
      <alignment horizontal="center" vertical="center"/>
    </xf>
    <xf numFmtId="0" fontId="2" fillId="10" borderId="38" xfId="0" applyFont="1" applyFill="1" applyBorder="1" applyAlignment="1">
      <alignment horizontal="center" vertical="center"/>
    </xf>
    <xf numFmtId="0" fontId="0" fillId="10" borderId="38" xfId="0" applyFill="1" applyBorder="1" applyAlignment="1">
      <alignment horizontal="center" vertical="center"/>
    </xf>
    <xf numFmtId="168" fontId="0" fillId="10" borderId="38" xfId="0" applyNumberFormat="1" applyFill="1" applyBorder="1" applyAlignment="1">
      <alignment horizontal="center" vertical="center"/>
    </xf>
    <xf numFmtId="165" fontId="0" fillId="10" borderId="38" xfId="0" applyNumberFormat="1" applyFill="1" applyBorder="1" applyAlignment="1">
      <alignment horizontal="center" vertical="center"/>
    </xf>
    <xf numFmtId="0" fontId="2" fillId="10" borderId="45" xfId="0" applyFont="1" applyFill="1" applyBorder="1" applyAlignment="1">
      <alignment vertical="center"/>
    </xf>
    <xf numFmtId="0" fontId="5" fillId="10" borderId="45" xfId="0" applyFont="1" applyFill="1" applyBorder="1" applyAlignment="1">
      <alignment vertical="center" wrapText="1"/>
    </xf>
    <xf numFmtId="0" fontId="0" fillId="9" borderId="0" xfId="0" applyFill="1" applyAlignment="1">
      <alignment vertical="center"/>
    </xf>
    <xf numFmtId="166" fontId="12" fillId="4" borderId="22" xfId="0" applyNumberFormat="1" applyFont="1" applyFill="1" applyBorder="1" applyAlignment="1">
      <alignment horizontal="center" vertical="center"/>
    </xf>
    <xf numFmtId="0" fontId="16" fillId="7" borderId="0" xfId="0" applyFont="1" applyFill="1" applyAlignment="1">
      <alignment vertical="center"/>
    </xf>
    <xf numFmtId="0" fontId="19" fillId="7" borderId="0" xfId="0" applyFont="1" applyFill="1" applyAlignment="1">
      <alignment vertical="center"/>
    </xf>
    <xf numFmtId="0" fontId="49" fillId="7" borderId="0" xfId="0" applyFont="1" applyFill="1" applyAlignment="1">
      <alignment vertical="center"/>
    </xf>
    <xf numFmtId="1" fontId="0" fillId="7" borderId="0" xfId="0" applyNumberFormat="1" applyFill="1" applyAlignment="1">
      <alignment horizontal="center" vertical="center"/>
    </xf>
    <xf numFmtId="8" fontId="0" fillId="7" borderId="0" xfId="0" applyNumberFormat="1" applyFill="1" applyAlignment="1">
      <alignment horizontal="center" vertical="center"/>
    </xf>
    <xf numFmtId="0" fontId="8" fillId="4" borderId="19" xfId="0" applyFont="1" applyFill="1" applyBorder="1" applyAlignment="1">
      <alignment horizontal="center" vertical="center"/>
    </xf>
    <xf numFmtId="0" fontId="8" fillId="4" borderId="20" xfId="0" applyFont="1" applyFill="1" applyBorder="1" applyAlignment="1">
      <alignment horizontal="center" vertical="center"/>
    </xf>
    <xf numFmtId="1" fontId="4" fillId="4" borderId="15" xfId="0" applyNumberFormat="1" applyFont="1" applyFill="1" applyBorder="1" applyAlignment="1">
      <alignment horizontal="center" vertical="center"/>
    </xf>
    <xf numFmtId="1" fontId="4" fillId="4" borderId="16" xfId="0" applyNumberFormat="1" applyFont="1" applyFill="1" applyBorder="1" applyAlignment="1">
      <alignment horizontal="center" vertical="center"/>
    </xf>
    <xf numFmtId="1" fontId="4" fillId="4" borderId="17" xfId="0" applyNumberFormat="1" applyFont="1" applyFill="1" applyBorder="1" applyAlignment="1">
      <alignment horizontal="center" vertical="center"/>
    </xf>
    <xf numFmtId="0" fontId="4" fillId="4" borderId="20" xfId="0" applyFont="1" applyFill="1" applyBorder="1" applyAlignment="1">
      <alignment horizontal="center" vertical="center"/>
    </xf>
    <xf numFmtId="0" fontId="4" fillId="4" borderId="15" xfId="0" applyFont="1" applyFill="1" applyBorder="1" applyAlignment="1">
      <alignment horizontal="center" vertical="center"/>
    </xf>
    <xf numFmtId="0" fontId="8" fillId="4" borderId="17" xfId="0" applyFont="1" applyFill="1" applyBorder="1" applyAlignment="1">
      <alignment horizontal="center" vertical="center"/>
    </xf>
    <xf numFmtId="10" fontId="4" fillId="4" borderId="18" xfId="2" applyNumberFormat="1" applyFont="1" applyFill="1" applyBorder="1" applyAlignment="1">
      <alignment horizontal="center" vertical="center"/>
    </xf>
    <xf numFmtId="166" fontId="4" fillId="4" borderId="20" xfId="2" applyNumberFormat="1" applyFont="1" applyFill="1" applyBorder="1" applyAlignment="1">
      <alignment horizontal="center" vertical="center"/>
    </xf>
    <xf numFmtId="166" fontId="4" fillId="4" borderId="16" xfId="2" applyNumberFormat="1" applyFont="1" applyFill="1" applyBorder="1" applyAlignment="1">
      <alignment horizontal="center" vertical="center"/>
    </xf>
    <xf numFmtId="166" fontId="8" fillId="4" borderId="18" xfId="2" applyNumberFormat="1" applyFont="1" applyFill="1" applyBorder="1" applyAlignment="1">
      <alignment horizontal="center" vertical="center"/>
    </xf>
    <xf numFmtId="164" fontId="4" fillId="4" borderId="20" xfId="1" applyNumberFormat="1" applyFont="1" applyFill="1" applyBorder="1" applyAlignment="1">
      <alignment horizontal="center" vertical="center"/>
    </xf>
    <xf numFmtId="2" fontId="4" fillId="4" borderId="20" xfId="0" applyNumberFormat="1" applyFont="1" applyFill="1" applyBorder="1" applyAlignment="1">
      <alignment horizontal="center" vertical="center"/>
    </xf>
    <xf numFmtId="0" fontId="9" fillId="2" borderId="22" xfId="0" applyFont="1" applyFill="1" applyBorder="1" applyAlignment="1">
      <alignment horizontal="left" vertical="center" wrapText="1" indent="2"/>
    </xf>
    <xf numFmtId="0" fontId="3" fillId="7" borderId="0" xfId="0" applyFont="1" applyFill="1" applyAlignment="1">
      <alignment vertical="center" wrapText="1"/>
    </xf>
    <xf numFmtId="0" fontId="0" fillId="0" borderId="0" xfId="0" applyAlignment="1">
      <alignment vertical="center" wrapText="1"/>
    </xf>
    <xf numFmtId="0" fontId="53" fillId="6" borderId="0" xfId="0" applyFont="1" applyFill="1" applyAlignment="1">
      <alignment horizontal="left" vertical="center"/>
    </xf>
    <xf numFmtId="0" fontId="0" fillId="2" borderId="38" xfId="0" applyFill="1" applyBorder="1" applyAlignment="1">
      <alignment vertical="center"/>
    </xf>
    <xf numFmtId="0" fontId="2" fillId="2" borderId="38" xfId="0" applyFont="1" applyFill="1" applyBorder="1" applyAlignment="1">
      <alignment horizontal="center" vertical="center"/>
    </xf>
    <xf numFmtId="0" fontId="5" fillId="10" borderId="38" xfId="0" applyFont="1" applyFill="1" applyBorder="1" applyAlignment="1">
      <alignment vertical="center"/>
    </xf>
    <xf numFmtId="0" fontId="0" fillId="9" borderId="0" xfId="0" applyFill="1" applyAlignment="1">
      <alignment horizontal="left" vertical="top" wrapText="1"/>
    </xf>
    <xf numFmtId="0" fontId="0" fillId="7" borderId="0" xfId="0" applyFill="1" applyAlignment="1">
      <alignment horizontal="left" vertical="top" wrapText="1"/>
    </xf>
    <xf numFmtId="0" fontId="4" fillId="0" borderId="50" xfId="0" applyFont="1" applyBorder="1" applyAlignment="1">
      <alignment horizontal="left" vertical="top" wrapText="1"/>
    </xf>
    <xf numFmtId="0" fontId="9" fillId="0" borderId="50" xfId="0" applyFont="1" applyBorder="1" applyAlignment="1">
      <alignment horizontal="left" vertical="top" wrapText="1"/>
    </xf>
    <xf numFmtId="0" fontId="9" fillId="7" borderId="0" xfId="0" applyFont="1" applyFill="1" applyAlignment="1">
      <alignment horizontal="left" vertical="top" wrapText="1"/>
    </xf>
    <xf numFmtId="0" fontId="9" fillId="9" borderId="0" xfId="0" applyFont="1" applyFill="1" applyAlignment="1">
      <alignment horizontal="left" vertical="top" wrapText="1"/>
    </xf>
    <xf numFmtId="0" fontId="9" fillId="0" borderId="0" xfId="0" applyFont="1" applyAlignment="1">
      <alignment horizontal="left" vertical="top" wrapText="1"/>
    </xf>
    <xf numFmtId="0" fontId="4" fillId="7" borderId="50" xfId="0" applyFont="1" applyFill="1" applyBorder="1" applyAlignment="1">
      <alignment horizontal="left" vertical="top" wrapText="1"/>
    </xf>
    <xf numFmtId="0" fontId="9" fillId="12" borderId="50" xfId="0" applyFont="1" applyFill="1" applyBorder="1" applyAlignment="1">
      <alignment horizontal="left" vertical="top" wrapText="1"/>
    </xf>
    <xf numFmtId="0" fontId="4" fillId="12" borderId="50" xfId="0" applyFont="1" applyFill="1" applyBorder="1" applyAlignment="1">
      <alignment horizontal="left" vertical="top" wrapText="1"/>
    </xf>
    <xf numFmtId="0" fontId="4" fillId="12" borderId="51" xfId="0" applyFont="1" applyFill="1" applyBorder="1" applyAlignment="1">
      <alignment horizontal="left" vertical="top" wrapText="1"/>
    </xf>
    <xf numFmtId="0" fontId="14" fillId="7" borderId="0" xfId="0" applyFont="1" applyFill="1" applyAlignment="1">
      <alignment vertical="top" wrapText="1"/>
    </xf>
    <xf numFmtId="0" fontId="43" fillId="7" borderId="51" xfId="0" applyFont="1" applyFill="1" applyBorder="1" applyAlignment="1">
      <alignment vertical="top" wrapText="1"/>
    </xf>
    <xf numFmtId="0" fontId="5" fillId="0" borderId="0" xfId="0" applyFont="1" applyAlignment="1">
      <alignment wrapText="1"/>
    </xf>
    <xf numFmtId="0" fontId="4" fillId="7" borderId="61" xfId="0" applyFont="1" applyFill="1" applyBorder="1" applyAlignment="1" applyProtection="1">
      <alignment horizontal="center" vertical="center"/>
      <protection locked="0"/>
    </xf>
    <xf numFmtId="0" fontId="4" fillId="7" borderId="67" xfId="0" applyFont="1" applyFill="1" applyBorder="1" applyAlignment="1" applyProtection="1">
      <alignment horizontal="center" vertical="center"/>
      <protection locked="0"/>
    </xf>
    <xf numFmtId="9" fontId="4" fillId="7" borderId="69" xfId="1" applyFont="1" applyFill="1" applyBorder="1" applyAlignment="1" applyProtection="1">
      <alignment horizontal="center" vertical="center"/>
      <protection locked="0"/>
    </xf>
    <xf numFmtId="9" fontId="4" fillId="7" borderId="75" xfId="0" applyNumberFormat="1" applyFont="1" applyFill="1" applyBorder="1" applyAlignment="1" applyProtection="1">
      <alignment horizontal="center" vertical="center"/>
      <protection locked="0"/>
    </xf>
    <xf numFmtId="9" fontId="4" fillId="7" borderId="77" xfId="0" applyNumberFormat="1" applyFont="1" applyFill="1" applyBorder="1" applyAlignment="1" applyProtection="1">
      <alignment horizontal="center" vertical="center"/>
      <protection locked="0"/>
    </xf>
    <xf numFmtId="9" fontId="4" fillId="7" borderId="79" xfId="0" applyNumberFormat="1" applyFont="1" applyFill="1" applyBorder="1" applyAlignment="1" applyProtection="1">
      <alignment horizontal="center" vertical="center"/>
      <protection locked="0"/>
    </xf>
    <xf numFmtId="9" fontId="4" fillId="7" borderId="67" xfId="1" applyFont="1" applyFill="1" applyBorder="1" applyAlignment="1" applyProtection="1">
      <alignment horizontal="center" vertical="center"/>
      <protection locked="0"/>
    </xf>
    <xf numFmtId="0" fontId="51" fillId="7" borderId="0" xfId="0" applyFont="1" applyFill="1" applyAlignment="1">
      <alignment horizontal="left" vertical="center" wrapText="1"/>
    </xf>
    <xf numFmtId="0" fontId="54" fillId="7" borderId="0" xfId="0" applyFont="1" applyFill="1" applyAlignment="1">
      <alignment vertical="center" wrapText="1"/>
    </xf>
    <xf numFmtId="165" fontId="58" fillId="7" borderId="0" xfId="0" applyNumberFormat="1" applyFont="1" applyFill="1" applyAlignment="1">
      <alignment horizontal="left" vertical="center"/>
    </xf>
    <xf numFmtId="0" fontId="38" fillId="7" borderId="85" xfId="0" applyFont="1" applyFill="1" applyBorder="1" applyAlignment="1" applyProtection="1">
      <alignment horizontal="center" vertical="center"/>
      <protection locked="0"/>
    </xf>
    <xf numFmtId="0" fontId="39" fillId="7" borderId="87" xfId="0" applyFont="1" applyFill="1" applyBorder="1" applyAlignment="1" applyProtection="1">
      <alignment horizontal="center" vertical="center"/>
      <protection locked="0"/>
    </xf>
    <xf numFmtId="0" fontId="4" fillId="7" borderId="87" xfId="0" applyFont="1" applyFill="1" applyBorder="1" applyAlignment="1" applyProtection="1">
      <alignment horizontal="center" vertical="center"/>
      <protection locked="0"/>
    </xf>
    <xf numFmtId="15" fontId="4" fillId="7" borderId="87" xfId="0" applyNumberFormat="1" applyFont="1" applyFill="1" applyBorder="1" applyAlignment="1" applyProtection="1">
      <alignment horizontal="center" vertical="center"/>
      <protection locked="0"/>
    </xf>
    <xf numFmtId="9" fontId="4" fillId="7" borderId="87" xfId="1" applyFont="1" applyFill="1" applyBorder="1" applyAlignment="1" applyProtection="1">
      <alignment horizontal="center" vertical="center"/>
      <protection locked="0"/>
    </xf>
    <xf numFmtId="1" fontId="4" fillId="7" borderId="87" xfId="1" applyNumberFormat="1" applyFont="1" applyFill="1" applyBorder="1" applyAlignment="1" applyProtection="1">
      <alignment horizontal="center" vertical="center"/>
      <protection locked="0"/>
    </xf>
    <xf numFmtId="0" fontId="0" fillId="0" borderId="92" xfId="0" applyBorder="1"/>
    <xf numFmtId="0" fontId="0" fillId="0" borderId="93" xfId="0" applyBorder="1"/>
    <xf numFmtId="0" fontId="2" fillId="0" borderId="94" xfId="0" applyFont="1" applyBorder="1"/>
    <xf numFmtId="0" fontId="2" fillId="0" borderId="95" xfId="0" applyFont="1" applyBorder="1"/>
    <xf numFmtId="0" fontId="2" fillId="0" borderId="94" xfId="0" applyFont="1" applyBorder="1" applyAlignment="1">
      <alignment vertical="center"/>
    </xf>
    <xf numFmtId="0" fontId="0" fillId="0" borderId="95" xfId="0" applyBorder="1"/>
    <xf numFmtId="0" fontId="0" fillId="0" borderId="94" xfId="0" applyBorder="1"/>
    <xf numFmtId="0" fontId="0" fillId="0" borderId="96" xfId="0" applyBorder="1"/>
    <xf numFmtId="0" fontId="0" fillId="0" borderId="97" xfId="0" applyBorder="1"/>
    <xf numFmtId="0" fontId="0" fillId="0" borderId="94" xfId="0" applyBorder="1" applyAlignment="1">
      <alignment vertical="center"/>
    </xf>
    <xf numFmtId="0" fontId="0" fillId="0" borderId="97" xfId="0" applyBorder="1" applyAlignment="1">
      <alignment vertical="center"/>
    </xf>
    <xf numFmtId="0" fontId="0" fillId="0" borderId="95" xfId="0" applyBorder="1" applyAlignment="1">
      <alignment vertical="center"/>
    </xf>
    <xf numFmtId="0" fontId="0" fillId="0" borderId="91" xfId="0" applyBorder="1"/>
    <xf numFmtId="0" fontId="2" fillId="0" borderId="91" xfId="0" applyFont="1" applyBorder="1"/>
    <xf numFmtId="0" fontId="2" fillId="0" borderId="97" xfId="0" applyFont="1" applyBorder="1"/>
    <xf numFmtId="0" fontId="0" fillId="0" borderId="92" xfId="0" applyBorder="1" applyAlignment="1">
      <alignment horizontal="left" indent="2"/>
    </xf>
    <xf numFmtId="0" fontId="0" fillId="0" borderId="96" xfId="0" applyBorder="1" applyAlignment="1">
      <alignment horizontal="left" indent="2"/>
    </xf>
    <xf numFmtId="0" fontId="9" fillId="0" borderId="94" xfId="0" applyFont="1" applyBorder="1"/>
    <xf numFmtId="0" fontId="9" fillId="0" borderId="97" xfId="0" applyFont="1" applyBorder="1"/>
    <xf numFmtId="0" fontId="11" fillId="0" borderId="94" xfId="0" applyFont="1" applyBorder="1"/>
    <xf numFmtId="0" fontId="11" fillId="0" borderId="97" xfId="0" applyFont="1" applyBorder="1"/>
    <xf numFmtId="0" fontId="0" fillId="0" borderId="93" xfId="0" applyBorder="1" applyAlignment="1">
      <alignment horizontal="left" indent="2"/>
    </xf>
    <xf numFmtId="0" fontId="3" fillId="0" borderId="98" xfId="0" applyFont="1" applyBorder="1"/>
    <xf numFmtId="0" fontId="3" fillId="0" borderId="99" xfId="0" applyFont="1" applyBorder="1"/>
    <xf numFmtId="0" fontId="0" fillId="0" borderId="92" xfId="0" applyBorder="1" applyAlignment="1">
      <alignment vertical="center"/>
    </xf>
    <xf numFmtId="0" fontId="0" fillId="0" borderId="96" xfId="0" applyBorder="1" applyAlignment="1">
      <alignment vertical="center"/>
    </xf>
    <xf numFmtId="0" fontId="0" fillId="0" borderId="93" xfId="0" applyBorder="1" applyAlignment="1">
      <alignment vertical="center"/>
    </xf>
    <xf numFmtId="0" fontId="18" fillId="0" borderId="94" xfId="0" applyFont="1" applyBorder="1" applyAlignment="1">
      <alignment vertical="center"/>
    </xf>
    <xf numFmtId="0" fontId="18" fillId="0" borderId="97" xfId="0" applyFont="1" applyBorder="1" applyAlignment="1">
      <alignment vertical="center"/>
    </xf>
    <xf numFmtId="0" fontId="2" fillId="0" borderId="97" xfId="0" applyFont="1" applyBorder="1" applyAlignment="1">
      <alignment vertical="center"/>
    </xf>
    <xf numFmtId="9" fontId="0" fillId="0" borderId="97" xfId="1" applyFont="1" applyBorder="1" applyAlignment="1">
      <alignment vertical="center"/>
    </xf>
    <xf numFmtId="9" fontId="2" fillId="0" borderId="97" xfId="1" applyFont="1" applyBorder="1" applyAlignment="1">
      <alignment vertical="center"/>
    </xf>
    <xf numFmtId="0" fontId="29" fillId="0" borderId="94" xfId="0" applyFont="1" applyBorder="1" applyAlignment="1">
      <alignment vertical="center"/>
    </xf>
    <xf numFmtId="0" fontId="29" fillId="0" borderId="97" xfId="0" applyFont="1" applyBorder="1" applyAlignment="1">
      <alignment vertical="center"/>
    </xf>
    <xf numFmtId="0" fontId="23" fillId="0" borderId="94" xfId="0" applyFont="1" applyBorder="1" applyAlignment="1">
      <alignment vertical="center"/>
    </xf>
    <xf numFmtId="0" fontId="23" fillId="0" borderId="97" xfId="0" applyFont="1" applyBorder="1" applyAlignment="1">
      <alignment vertical="center"/>
    </xf>
    <xf numFmtId="0" fontId="23" fillId="0" borderId="97" xfId="0" applyFont="1" applyBorder="1" applyAlignment="1">
      <alignment horizontal="left" vertical="center"/>
    </xf>
    <xf numFmtId="0" fontId="5" fillId="0" borderId="94" xfId="0" applyFont="1" applyBorder="1" applyAlignment="1">
      <alignment vertical="center"/>
    </xf>
    <xf numFmtId="0" fontId="5" fillId="0" borderId="97" xfId="0" applyFont="1" applyBorder="1" applyAlignment="1">
      <alignment vertical="center"/>
    </xf>
    <xf numFmtId="0" fontId="3" fillId="0" borderId="94" xfId="0" applyFont="1" applyBorder="1" applyAlignment="1">
      <alignment vertical="center"/>
    </xf>
    <xf numFmtId="0" fontId="3" fillId="0" borderId="97" xfId="0" applyFont="1" applyBorder="1" applyAlignment="1">
      <alignment vertical="center"/>
    </xf>
    <xf numFmtId="0" fontId="10" fillId="0" borderId="97" xfId="0" applyFont="1" applyBorder="1" applyAlignment="1">
      <alignment vertical="center"/>
    </xf>
    <xf numFmtId="0" fontId="0" fillId="0" borderId="94" xfId="1" applyNumberFormat="1" applyFont="1" applyBorder="1" applyAlignment="1">
      <alignment horizontal="center" vertical="center"/>
    </xf>
    <xf numFmtId="0" fontId="0" fillId="0" borderId="97" xfId="1" applyNumberFormat="1" applyFont="1" applyBorder="1" applyAlignment="1">
      <alignment horizontal="center" vertical="center"/>
    </xf>
    <xf numFmtId="166" fontId="0" fillId="0" borderId="97" xfId="0" applyNumberFormat="1" applyBorder="1" applyAlignment="1">
      <alignment vertical="center"/>
    </xf>
    <xf numFmtId="0" fontId="2" fillId="0" borderId="94" xfId="0" applyFont="1" applyBorder="1" applyAlignment="1">
      <alignment horizontal="center" vertical="center"/>
    </xf>
    <xf numFmtId="0" fontId="2" fillId="0" borderId="97" xfId="0" applyFont="1" applyBorder="1" applyAlignment="1">
      <alignment horizontal="center" vertical="center"/>
    </xf>
    <xf numFmtId="165" fontId="0" fillId="0" borderId="97" xfId="0" applyNumberFormat="1"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0" borderId="96" xfId="0" applyFont="1" applyBorder="1" applyAlignment="1">
      <alignment horizontal="center" vertical="center"/>
    </xf>
    <xf numFmtId="0" fontId="19" fillId="7" borderId="97" xfId="0" applyFont="1" applyFill="1" applyBorder="1" applyAlignment="1">
      <alignment vertical="center"/>
    </xf>
    <xf numFmtId="0" fontId="0" fillId="7" borderId="97" xfId="0" applyFill="1" applyBorder="1" applyAlignment="1">
      <alignment vertical="center"/>
    </xf>
    <xf numFmtId="0" fontId="2" fillId="0" borderId="97" xfId="0" applyFont="1" applyBorder="1" applyAlignment="1">
      <alignment vertical="center" wrapText="1"/>
    </xf>
    <xf numFmtId="0" fontId="4" fillId="0" borderId="97" xfId="0" applyFont="1" applyBorder="1" applyAlignment="1">
      <alignment vertical="center"/>
    </xf>
    <xf numFmtId="0" fontId="8" fillId="0" borderId="97" xfId="0" applyFont="1" applyBorder="1" applyAlignment="1">
      <alignment vertical="center" wrapText="1"/>
    </xf>
    <xf numFmtId="0" fontId="8" fillId="0" borderId="97" xfId="0" applyFont="1" applyBorder="1" applyAlignment="1">
      <alignment vertical="center"/>
    </xf>
    <xf numFmtId="0" fontId="18" fillId="7" borderId="97" xfId="0" applyFont="1" applyFill="1" applyBorder="1" applyAlignment="1">
      <alignment vertical="center"/>
    </xf>
    <xf numFmtId="0" fontId="2" fillId="7" borderId="97" xfId="0" applyFont="1" applyFill="1" applyBorder="1" applyAlignment="1">
      <alignment vertical="center"/>
    </xf>
    <xf numFmtId="0" fontId="3" fillId="0" borderId="97" xfId="0" applyFont="1" applyBorder="1" applyAlignment="1">
      <alignment vertical="center" wrapText="1"/>
    </xf>
    <xf numFmtId="0" fontId="0" fillId="0" borderId="97" xfId="0" applyBorder="1" applyAlignment="1">
      <alignment vertical="center" wrapText="1"/>
    </xf>
    <xf numFmtId="10" fontId="4" fillId="0" borderId="97" xfId="0" applyNumberFormat="1" applyFont="1" applyBorder="1" applyAlignment="1">
      <alignment horizontal="center" vertical="center"/>
    </xf>
    <xf numFmtId="0" fontId="50" fillId="0" borderId="97" xfId="0" applyFont="1" applyBorder="1" applyAlignment="1">
      <alignment horizontal="center" vertical="center" readingOrder="1"/>
    </xf>
    <xf numFmtId="6" fontId="4" fillId="0" borderId="97" xfId="0" applyNumberFormat="1" applyFont="1" applyBorder="1" applyAlignment="1">
      <alignment horizontal="center" vertical="center"/>
    </xf>
    <xf numFmtId="165" fontId="4" fillId="0" borderId="97" xfId="1" applyNumberFormat="1" applyFont="1" applyBorder="1" applyAlignment="1">
      <alignment horizontal="center" vertical="center"/>
    </xf>
    <xf numFmtId="0" fontId="41" fillId="0" borderId="97" xfId="0" applyFont="1" applyBorder="1" applyAlignment="1">
      <alignment vertical="center"/>
    </xf>
    <xf numFmtId="0" fontId="0" fillId="0" borderId="97" xfId="0" applyBorder="1" applyAlignment="1">
      <alignment horizontal="center" vertical="center"/>
    </xf>
    <xf numFmtId="0" fontId="7" fillId="0" borderId="97" xfId="0" applyFont="1" applyBorder="1" applyAlignment="1">
      <alignment vertical="center"/>
    </xf>
    <xf numFmtId="165" fontId="0" fillId="0" borderId="97" xfId="1" applyNumberFormat="1" applyFont="1" applyBorder="1" applyAlignment="1">
      <alignment horizontal="center" vertical="center"/>
    </xf>
    <xf numFmtId="165" fontId="0" fillId="0" borderId="97" xfId="0" applyNumberFormat="1" applyBorder="1" applyAlignment="1">
      <alignment horizontal="center" vertical="center"/>
    </xf>
    <xf numFmtId="49" fontId="5" fillId="0" borderId="97" xfId="0" applyNumberFormat="1" applyFont="1" applyBorder="1" applyAlignment="1">
      <alignment vertical="center"/>
    </xf>
    <xf numFmtId="0" fontId="0" fillId="0" borderId="96" xfId="0" applyBorder="1" applyAlignment="1">
      <alignment vertical="center" wrapText="1"/>
    </xf>
    <xf numFmtId="0" fontId="0" fillId="7" borderId="95" xfId="0" applyFill="1" applyBorder="1" applyAlignment="1">
      <alignment vertical="center"/>
    </xf>
    <xf numFmtId="0" fontId="4" fillId="0" borderId="95" xfId="0" applyFont="1" applyBorder="1" applyAlignment="1">
      <alignment vertical="center"/>
    </xf>
    <xf numFmtId="0" fontId="4" fillId="0" borderId="98" xfId="0" applyFont="1" applyBorder="1" applyAlignment="1">
      <alignment vertical="center"/>
    </xf>
    <xf numFmtId="0" fontId="4" fillId="0" borderId="99" xfId="0" applyFont="1" applyBorder="1" applyAlignment="1">
      <alignment vertical="center"/>
    </xf>
    <xf numFmtId="0" fontId="0" fillId="0" borderId="95" xfId="0" applyBorder="1" applyAlignment="1">
      <alignment vertical="center" wrapText="1"/>
    </xf>
    <xf numFmtId="0" fontId="0" fillId="3" borderId="0" xfId="0" applyFill="1" applyAlignment="1">
      <alignment vertical="center"/>
    </xf>
    <xf numFmtId="9" fontId="4" fillId="4" borderId="20" xfId="0" applyNumberFormat="1" applyFont="1" applyFill="1" applyBorder="1" applyAlignment="1">
      <alignment horizontal="center" vertical="center"/>
    </xf>
    <xf numFmtId="10" fontId="4" fillId="4" borderId="16" xfId="0" applyNumberFormat="1" applyFont="1" applyFill="1" applyBorder="1" applyAlignment="1">
      <alignment horizontal="center" vertical="center"/>
    </xf>
    <xf numFmtId="2" fontId="4" fillId="4" borderId="18" xfId="0" applyNumberFormat="1" applyFont="1" applyFill="1" applyBorder="1" applyAlignment="1">
      <alignment horizontal="center" vertical="center"/>
    </xf>
    <xf numFmtId="9" fontId="39" fillId="7" borderId="6" xfId="1" applyFont="1" applyFill="1" applyBorder="1" applyAlignment="1" applyProtection="1">
      <alignment horizontal="center" vertical="center"/>
      <protection locked="0"/>
    </xf>
    <xf numFmtId="0" fontId="4" fillId="7" borderId="8" xfId="0" applyFont="1" applyFill="1" applyBorder="1" applyAlignment="1" applyProtection="1">
      <alignment horizontal="center" vertical="center"/>
      <protection locked="0"/>
    </xf>
    <xf numFmtId="9" fontId="39" fillId="13" borderId="55" xfId="1" applyFont="1" applyFill="1" applyBorder="1" applyAlignment="1" applyProtection="1">
      <alignment horizontal="center" vertical="center"/>
      <protection locked="0"/>
    </xf>
    <xf numFmtId="166" fontId="4" fillId="7" borderId="87" xfId="0" applyNumberFormat="1" applyFont="1" applyFill="1" applyBorder="1" applyAlignment="1" applyProtection="1">
      <alignment horizontal="center" vertical="center"/>
      <protection locked="0"/>
    </xf>
    <xf numFmtId="49" fontId="4" fillId="7" borderId="89" xfId="0" applyNumberFormat="1" applyFont="1" applyFill="1" applyBorder="1" applyAlignment="1" applyProtection="1">
      <alignment horizontal="center" vertical="center"/>
      <protection locked="0"/>
    </xf>
    <xf numFmtId="0" fontId="55" fillId="7" borderId="0" xfId="0" applyFont="1" applyFill="1" applyAlignment="1">
      <alignment vertical="center" wrapText="1"/>
    </xf>
    <xf numFmtId="0" fontId="4" fillId="7" borderId="113" xfId="0" applyFont="1" applyFill="1" applyBorder="1" applyAlignment="1" applyProtection="1">
      <alignment horizontal="center" vertical="center"/>
      <protection locked="0"/>
    </xf>
    <xf numFmtId="0" fontId="62" fillId="7" borderId="0" xfId="0" applyFont="1" applyFill="1"/>
    <xf numFmtId="0" fontId="5" fillId="0" borderId="0" xfId="0" applyFont="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xf>
    <xf numFmtId="0" fontId="4" fillId="0" borderId="0" xfId="0" applyFont="1" applyAlignment="1">
      <alignment vertical="center" wrapText="1"/>
    </xf>
    <xf numFmtId="0" fontId="29" fillId="11" borderId="0" xfId="0" applyFont="1" applyFill="1" applyAlignment="1">
      <alignment horizontal="left" vertical="center" wrapText="1" indent="2"/>
    </xf>
    <xf numFmtId="0" fontId="29" fillId="11" borderId="0" xfId="0" applyFont="1" applyFill="1" applyAlignment="1">
      <alignment horizontal="left" vertical="center" indent="2"/>
    </xf>
    <xf numFmtId="10" fontId="4" fillId="4" borderId="14" xfId="1" applyNumberFormat="1" applyFont="1" applyFill="1" applyBorder="1" applyAlignment="1">
      <alignment horizontal="center" vertical="center"/>
    </xf>
    <xf numFmtId="0" fontId="2" fillId="7" borderId="0" xfId="0" applyFont="1" applyFill="1" applyAlignment="1">
      <alignment horizontal="left" vertical="top" wrapText="1" indent="2"/>
    </xf>
    <xf numFmtId="9" fontId="0" fillId="19" borderId="23" xfId="1" applyFont="1" applyFill="1" applyBorder="1" applyAlignment="1" applyProtection="1">
      <alignment horizontal="center" vertical="center"/>
      <protection locked="0"/>
    </xf>
    <xf numFmtId="9" fontId="0" fillId="19" borderId="21" xfId="1" applyFont="1" applyFill="1" applyBorder="1" applyAlignment="1" applyProtection="1">
      <alignment horizontal="center" vertical="center"/>
      <protection locked="0"/>
    </xf>
    <xf numFmtId="9" fontId="4" fillId="19" borderId="87" xfId="1" applyFont="1" applyFill="1" applyBorder="1" applyAlignment="1" applyProtection="1">
      <alignment horizontal="center" vertical="center"/>
      <protection locked="0"/>
    </xf>
    <xf numFmtId="9" fontId="4" fillId="19" borderId="69" xfId="1" applyFont="1" applyFill="1" applyBorder="1" applyAlignment="1" applyProtection="1">
      <alignment horizontal="center" vertical="center"/>
      <protection locked="0"/>
    </xf>
    <xf numFmtId="9" fontId="4" fillId="19" borderId="71" xfId="1" applyFont="1" applyFill="1" applyBorder="1" applyAlignment="1" applyProtection="1">
      <alignment horizontal="center" vertical="center"/>
      <protection locked="0"/>
    </xf>
    <xf numFmtId="0" fontId="4" fillId="0" borderId="0" xfId="0" applyFont="1" applyAlignment="1">
      <alignment horizontal="left" wrapText="1" indent="4"/>
    </xf>
    <xf numFmtId="9" fontId="4" fillId="19" borderId="10" xfId="1" applyFont="1" applyFill="1" applyBorder="1" applyAlignment="1" applyProtection="1">
      <alignment horizontal="center" vertical="center"/>
      <protection locked="0"/>
    </xf>
    <xf numFmtId="9" fontId="4" fillId="19" borderId="56" xfId="1" applyFont="1" applyFill="1" applyBorder="1" applyAlignment="1" applyProtection="1">
      <alignment horizontal="center" vertical="center"/>
      <protection locked="0"/>
    </xf>
    <xf numFmtId="9" fontId="4" fillId="19" borderId="63" xfId="0" applyNumberFormat="1" applyFont="1" applyFill="1" applyBorder="1" applyAlignment="1" applyProtection="1">
      <alignment horizontal="center" vertical="center"/>
      <protection locked="0"/>
    </xf>
    <xf numFmtId="0" fontId="8" fillId="7" borderId="0" xfId="0" applyFont="1" applyFill="1" applyAlignment="1">
      <alignment horizontal="left" indent="2"/>
    </xf>
    <xf numFmtId="0" fontId="3" fillId="2" borderId="0" xfId="0" applyFont="1" applyFill="1"/>
    <xf numFmtId="9" fontId="30" fillId="0" borderId="0" xfId="1" applyFont="1" applyAlignment="1">
      <alignment horizontal="center" vertical="center"/>
    </xf>
    <xf numFmtId="0" fontId="30" fillId="0" borderId="0" xfId="0" applyFont="1" applyAlignment="1">
      <alignment horizontal="center" vertical="center"/>
    </xf>
    <xf numFmtId="0" fontId="12" fillId="0" borderId="0" xfId="0" applyFont="1" applyAlignment="1">
      <alignment vertical="center"/>
    </xf>
    <xf numFmtId="0" fontId="30" fillId="0" borderId="0" xfId="0" applyFont="1" applyAlignment="1">
      <alignment vertical="center"/>
    </xf>
    <xf numFmtId="0" fontId="5" fillId="0" borderId="0" xfId="0" applyFont="1" applyAlignment="1">
      <alignment vertical="center"/>
    </xf>
    <xf numFmtId="0" fontId="12" fillId="0" borderId="90" xfId="0" applyFont="1" applyBorder="1" applyAlignment="1">
      <alignment vertical="center"/>
    </xf>
    <xf numFmtId="0" fontId="2" fillId="0" borderId="92" xfId="0" applyFont="1" applyBorder="1"/>
    <xf numFmtId="0" fontId="2" fillId="0" borderId="93" xfId="0" applyFont="1" applyBorder="1"/>
    <xf numFmtId="0" fontId="2" fillId="0" borderId="90" xfId="0" applyFont="1" applyBorder="1"/>
    <xf numFmtId="0" fontId="0" fillId="0" borderId="96" xfId="0" applyBorder="1" applyAlignment="1">
      <alignment horizontal="center" vertical="center"/>
    </xf>
    <xf numFmtId="9" fontId="5" fillId="2" borderId="0" xfId="1" applyFont="1" applyFill="1" applyBorder="1" applyAlignment="1">
      <alignment horizontal="center" vertical="center"/>
    </xf>
    <xf numFmtId="0" fontId="0" fillId="4" borderId="44" xfId="0" applyFill="1" applyBorder="1" applyAlignment="1">
      <alignment vertical="center"/>
    </xf>
    <xf numFmtId="0" fontId="9" fillId="2" borderId="22" xfId="0" applyFont="1" applyFill="1" applyBorder="1" applyAlignment="1">
      <alignment horizontal="center" vertical="center"/>
    </xf>
    <xf numFmtId="0" fontId="27" fillId="4" borderId="86" xfId="3" applyFill="1" applyBorder="1" applyAlignment="1" applyProtection="1">
      <alignment horizontal="left" vertical="center" indent="1"/>
    </xf>
    <xf numFmtId="0" fontId="59" fillId="4" borderId="5" xfId="3" applyFont="1" applyFill="1" applyBorder="1" applyAlignment="1" applyProtection="1">
      <alignment horizontal="left" vertical="center" indent="1"/>
    </xf>
    <xf numFmtId="9" fontId="4" fillId="13" borderId="0" xfId="1" applyFont="1" applyFill="1" applyBorder="1" applyAlignment="1" applyProtection="1">
      <alignment horizontal="center" vertical="center"/>
    </xf>
    <xf numFmtId="0" fontId="59" fillId="4" borderId="52" xfId="3" applyFont="1" applyFill="1" applyBorder="1" applyAlignment="1" applyProtection="1">
      <alignment horizontal="center" vertical="center" indent="1"/>
    </xf>
    <xf numFmtId="10" fontId="41" fillId="7" borderId="0" xfId="1" applyNumberFormat="1" applyFont="1" applyFill="1" applyBorder="1" applyAlignment="1" applyProtection="1">
      <alignment horizontal="left" indent="1"/>
    </xf>
    <xf numFmtId="165" fontId="41" fillId="7" borderId="0" xfId="1" applyNumberFormat="1" applyFont="1" applyFill="1" applyBorder="1" applyAlignment="1" applyProtection="1">
      <alignment horizontal="left" indent="1"/>
    </xf>
    <xf numFmtId="10" fontId="41" fillId="0" borderId="0" xfId="1" applyNumberFormat="1" applyFont="1" applyBorder="1" applyAlignment="1" applyProtection="1">
      <alignment horizontal="left" indent="1"/>
    </xf>
    <xf numFmtId="0" fontId="4" fillId="7" borderId="118" xfId="0" applyFont="1" applyFill="1" applyBorder="1" applyAlignment="1" applyProtection="1">
      <alignment horizontal="center" vertical="center"/>
      <protection locked="0"/>
    </xf>
    <xf numFmtId="0" fontId="4" fillId="7" borderId="120" xfId="0" applyFont="1" applyFill="1" applyBorder="1" applyAlignment="1" applyProtection="1">
      <alignment horizontal="center" vertical="center"/>
      <protection locked="0"/>
    </xf>
    <xf numFmtId="0" fontId="4" fillId="7" borderId="122" xfId="0" applyFont="1" applyFill="1" applyBorder="1" applyAlignment="1" applyProtection="1">
      <alignment horizontal="center" vertical="center"/>
      <protection locked="0"/>
    </xf>
    <xf numFmtId="0" fontId="4" fillId="6" borderId="0" xfId="0" applyFont="1" applyFill="1" applyAlignment="1">
      <alignment horizontal="center" vertical="center"/>
    </xf>
    <xf numFmtId="0" fontId="4" fillId="6" borderId="0" xfId="0" applyFont="1" applyFill="1"/>
    <xf numFmtId="0" fontId="4" fillId="6" borderId="0" xfId="0" applyFont="1" applyFill="1" applyAlignment="1">
      <alignment horizontal="left" indent="1"/>
    </xf>
    <xf numFmtId="0" fontId="4" fillId="6" borderId="0" xfId="0" applyFont="1" applyFill="1" applyAlignment="1">
      <alignment horizontal="center"/>
    </xf>
    <xf numFmtId="0" fontId="35" fillId="7" borderId="0" xfId="0" applyFont="1" applyFill="1" applyAlignment="1">
      <alignment horizontal="left" vertical="center" indent="1"/>
    </xf>
    <xf numFmtId="0" fontId="36" fillId="7" borderId="0" xfId="0" applyFont="1" applyFill="1" applyAlignment="1">
      <alignment horizontal="center" vertical="center"/>
    </xf>
    <xf numFmtId="0" fontId="36" fillId="7" borderId="0" xfId="0" applyFont="1" applyFill="1" applyAlignment="1">
      <alignment vertical="center"/>
    </xf>
    <xf numFmtId="0" fontId="36" fillId="7" borderId="0" xfId="0" applyFont="1" applyFill="1" applyAlignment="1">
      <alignment horizontal="left" vertical="center" indent="1"/>
    </xf>
    <xf numFmtId="0" fontId="14" fillId="7" borderId="0" xfId="0" applyFont="1" applyFill="1" applyAlignment="1">
      <alignment vertical="center"/>
    </xf>
    <xf numFmtId="0" fontId="40" fillId="6" borderId="82" xfId="0" applyFont="1" applyFill="1" applyBorder="1" applyAlignment="1">
      <alignment horizontal="left" vertical="center" indent="1"/>
    </xf>
    <xf numFmtId="0" fontId="37" fillId="6" borderId="83" xfId="0" applyFont="1" applyFill="1" applyBorder="1" applyAlignment="1">
      <alignment horizontal="center" vertical="center"/>
    </xf>
    <xf numFmtId="0" fontId="37" fillId="7" borderId="0" xfId="0" applyFont="1" applyFill="1" applyAlignment="1">
      <alignment horizontal="left" vertical="center"/>
    </xf>
    <xf numFmtId="0" fontId="26" fillId="0" borderId="0" xfId="0" applyFont="1" applyAlignment="1">
      <alignment vertical="center"/>
    </xf>
    <xf numFmtId="0" fontId="25" fillId="0" borderId="0" xfId="0" applyFont="1" applyAlignment="1">
      <alignment vertical="center"/>
    </xf>
    <xf numFmtId="0" fontId="38" fillId="4" borderId="84" xfId="0" applyFont="1" applyFill="1" applyBorder="1" applyAlignment="1">
      <alignment horizontal="left" vertical="center" indent="1"/>
    </xf>
    <xf numFmtId="0" fontId="36" fillId="7" borderId="0" xfId="0" applyFont="1" applyFill="1" applyAlignment="1">
      <alignment horizontal="left" vertical="center"/>
    </xf>
    <xf numFmtId="0" fontId="4" fillId="4" borderId="66" xfId="0" applyFont="1" applyFill="1" applyBorder="1" applyAlignment="1">
      <alignment horizontal="left" vertical="center" indent="1"/>
    </xf>
    <xf numFmtId="0" fontId="14" fillId="0" borderId="0" xfId="0" applyFont="1" applyAlignment="1">
      <alignment vertical="center"/>
    </xf>
    <xf numFmtId="0" fontId="4" fillId="4" borderId="86" xfId="0" applyFont="1" applyFill="1" applyBorder="1" applyAlignment="1">
      <alignment horizontal="left" vertical="center" indent="1"/>
    </xf>
    <xf numFmtId="0" fontId="15" fillId="7" borderId="0" xfId="0" applyFont="1" applyFill="1" applyAlignment="1">
      <alignment vertical="center"/>
    </xf>
    <xf numFmtId="0" fontId="4" fillId="4" borderId="68" xfId="0" applyFont="1" applyFill="1" applyBorder="1" applyAlignment="1">
      <alignment horizontal="left" vertical="center" indent="1"/>
    </xf>
    <xf numFmtId="0" fontId="4" fillId="4" borderId="69" xfId="0" applyFont="1" applyFill="1" applyBorder="1" applyAlignment="1">
      <alignment horizontal="center" vertical="center"/>
    </xf>
    <xf numFmtId="0" fontId="10" fillId="0" borderId="0" xfId="0" applyFont="1" applyAlignment="1">
      <alignment vertical="center"/>
    </xf>
    <xf numFmtId="0" fontId="4" fillId="4" borderId="87" xfId="0" applyFont="1" applyFill="1" applyBorder="1" applyAlignment="1">
      <alignment horizontal="center" vertical="center"/>
    </xf>
    <xf numFmtId="0" fontId="4" fillId="4" borderId="70" xfId="0" applyFont="1" applyFill="1" applyBorder="1" applyAlignment="1">
      <alignment horizontal="left" vertical="center" indent="1"/>
    </xf>
    <xf numFmtId="0" fontId="40" fillId="16" borderId="80" xfId="0" applyFont="1" applyFill="1" applyBorder="1" applyAlignment="1">
      <alignment horizontal="left" vertical="center" indent="1"/>
    </xf>
    <xf numFmtId="0" fontId="40" fillId="16" borderId="81" xfId="0" applyFont="1" applyFill="1" applyBorder="1" applyAlignment="1">
      <alignment horizontal="center" vertical="center"/>
    </xf>
    <xf numFmtId="0" fontId="4" fillId="4" borderId="117" xfId="0" applyFont="1" applyFill="1" applyBorder="1" applyAlignment="1">
      <alignment horizontal="left" vertical="center" indent="1"/>
    </xf>
    <xf numFmtId="0" fontId="4" fillId="4" borderId="119" xfId="0" applyFont="1" applyFill="1" applyBorder="1" applyAlignment="1">
      <alignment horizontal="left" vertical="center" indent="1"/>
    </xf>
    <xf numFmtId="0" fontId="15" fillId="0" borderId="0" xfId="0" applyFont="1" applyAlignment="1">
      <alignment vertical="center"/>
    </xf>
    <xf numFmtId="0" fontId="4" fillId="7" borderId="114" xfId="0" applyFont="1" applyFill="1" applyBorder="1" applyAlignment="1">
      <alignment horizontal="center" vertical="center"/>
    </xf>
    <xf numFmtId="0" fontId="4" fillId="4" borderId="121" xfId="0" applyFont="1" applyFill="1" applyBorder="1" applyAlignment="1">
      <alignment horizontal="left" vertical="center" indent="1"/>
    </xf>
    <xf numFmtId="0" fontId="4" fillId="4" borderId="88" xfId="0" applyFont="1" applyFill="1" applyBorder="1" applyAlignment="1">
      <alignment horizontal="left" vertical="center" indent="1"/>
    </xf>
    <xf numFmtId="0" fontId="4" fillId="7" borderId="0" xfId="0" applyFont="1" applyFill="1" applyAlignment="1">
      <alignment horizontal="left" vertical="center" indent="1"/>
    </xf>
    <xf numFmtId="49" fontId="4" fillId="7" borderId="0" xfId="0" applyNumberFormat="1" applyFont="1" applyFill="1" applyAlignment="1">
      <alignment horizontal="center" vertical="center"/>
    </xf>
    <xf numFmtId="0" fontId="40" fillId="15" borderId="72" xfId="0" applyFont="1" applyFill="1" applyBorder="1" applyAlignment="1">
      <alignment horizontal="left" vertical="center" indent="1"/>
    </xf>
    <xf numFmtId="0" fontId="36" fillId="15" borderId="73" xfId="0" applyFont="1" applyFill="1" applyBorder="1" applyAlignment="1">
      <alignment horizontal="center" vertical="center"/>
    </xf>
    <xf numFmtId="0" fontId="4" fillId="4" borderId="74" xfId="0" applyFont="1" applyFill="1" applyBorder="1" applyAlignment="1">
      <alignment horizontal="left" vertical="center" indent="1"/>
    </xf>
    <xf numFmtId="0" fontId="4" fillId="0" borderId="0" xfId="0" applyFont="1" applyAlignment="1">
      <alignment horizontal="left" vertical="center"/>
    </xf>
    <xf numFmtId="0" fontId="4" fillId="4" borderId="76" xfId="0" applyFont="1" applyFill="1" applyBorder="1" applyAlignment="1">
      <alignment horizontal="left" vertical="center" indent="1"/>
    </xf>
    <xf numFmtId="0" fontId="4" fillId="4" borderId="7" xfId="0" applyFont="1" applyFill="1" applyBorder="1" applyAlignment="1">
      <alignment horizontal="left" vertical="center" indent="1"/>
    </xf>
    <xf numFmtId="0" fontId="4" fillId="4" borderId="9" xfId="0" applyFont="1" applyFill="1" applyBorder="1" applyAlignment="1">
      <alignment horizontal="left" vertical="center" indent="1"/>
    </xf>
    <xf numFmtId="0" fontId="4" fillId="4" borderId="78" xfId="0" applyFont="1" applyFill="1" applyBorder="1" applyAlignment="1">
      <alignment horizontal="left" vertical="center" indent="1"/>
    </xf>
    <xf numFmtId="0" fontId="4" fillId="0" borderId="0" xfId="0" applyFont="1" applyAlignment="1">
      <alignment horizontal="left" vertical="center" indent="1"/>
    </xf>
    <xf numFmtId="0" fontId="40" fillId="14" borderId="57" xfId="0" applyFont="1" applyFill="1" applyBorder="1" applyAlignment="1">
      <alignment horizontal="left" vertical="center" indent="1"/>
    </xf>
    <xf numFmtId="0" fontId="40" fillId="14" borderId="58" xfId="0" applyFont="1" applyFill="1" applyBorder="1" applyAlignment="1">
      <alignment horizontal="center" vertical="center"/>
    </xf>
    <xf numFmtId="0" fontId="4" fillId="4" borderId="59" xfId="0" applyFont="1" applyFill="1" applyBorder="1" applyAlignment="1">
      <alignment horizontal="left" vertical="center" indent="1"/>
    </xf>
    <xf numFmtId="0" fontId="4" fillId="4" borderId="54" xfId="0" applyFont="1" applyFill="1" applyBorder="1" applyAlignment="1">
      <alignment horizontal="left" vertical="center" indent="1"/>
    </xf>
    <xf numFmtId="0" fontId="4" fillId="4" borderId="60" xfId="0" applyFont="1" applyFill="1" applyBorder="1" applyAlignment="1">
      <alignment horizontal="left" vertical="center" indent="1"/>
    </xf>
    <xf numFmtId="0" fontId="4" fillId="0" borderId="53" xfId="0" applyFont="1" applyBorder="1" applyAlignment="1">
      <alignment horizontal="center" vertical="center"/>
    </xf>
    <xf numFmtId="0" fontId="4" fillId="4" borderId="62" xfId="0" applyFont="1" applyFill="1" applyBorder="1" applyAlignment="1">
      <alignment horizontal="left" vertical="center" indent="1"/>
    </xf>
    <xf numFmtId="0" fontId="4" fillId="4" borderId="112" xfId="0" applyFont="1" applyFill="1" applyBorder="1" applyAlignment="1">
      <alignment horizontal="left" vertical="center" indent="1"/>
    </xf>
    <xf numFmtId="0" fontId="8" fillId="0" borderId="0" xfId="0" applyFont="1" applyAlignment="1">
      <alignment horizontal="left" vertical="center"/>
    </xf>
    <xf numFmtId="0" fontId="0" fillId="7" borderId="0" xfId="0" applyFill="1" applyAlignment="1">
      <alignment horizontal="left" vertical="center" indent="1"/>
    </xf>
    <xf numFmtId="0" fontId="4" fillId="7" borderId="0" xfId="0" applyFont="1" applyFill="1" applyAlignment="1">
      <alignment horizontal="left" vertical="center"/>
    </xf>
    <xf numFmtId="0" fontId="40" fillId="7" borderId="0" xfId="0" applyFont="1" applyFill="1" applyAlignment="1">
      <alignment horizontal="left" vertical="center" indent="1"/>
    </xf>
    <xf numFmtId="0" fontId="41" fillId="7" borderId="0" xfId="0" applyFont="1" applyFill="1" applyAlignment="1">
      <alignment horizontal="left" vertical="center" indent="1"/>
    </xf>
    <xf numFmtId="0" fontId="15" fillId="7" borderId="0" xfId="0" applyFont="1" applyFill="1" applyAlignment="1">
      <alignment vertical="center" wrapText="1"/>
    </xf>
    <xf numFmtId="0" fontId="4" fillId="7" borderId="0" xfId="0" applyFont="1" applyFill="1" applyAlignment="1">
      <alignment horizontal="left" indent="1"/>
    </xf>
    <xf numFmtId="165" fontId="41" fillId="7" borderId="0" xfId="0" applyNumberFormat="1" applyFont="1" applyFill="1" applyAlignment="1">
      <alignment horizontal="left" indent="1"/>
    </xf>
    <xf numFmtId="0" fontId="4" fillId="0" borderId="0" xfId="0" applyFont="1"/>
    <xf numFmtId="0" fontId="4" fillId="0" borderId="0" xfId="0" applyFont="1" applyAlignment="1">
      <alignment horizontal="left"/>
    </xf>
    <xf numFmtId="0" fontId="4" fillId="7" borderId="0" xfId="0" applyFont="1" applyFill="1" applyAlignment="1">
      <alignment horizontal="center"/>
    </xf>
    <xf numFmtId="0" fontId="15" fillId="0" borderId="0" xfId="0" applyFont="1"/>
    <xf numFmtId="0" fontId="0" fillId="9" borderId="0" xfId="0" applyFill="1" applyAlignment="1">
      <alignment horizontal="left" vertical="center" indent="1"/>
    </xf>
    <xf numFmtId="49" fontId="4" fillId="9" borderId="0" xfId="0" applyNumberFormat="1" applyFont="1" applyFill="1" applyAlignment="1">
      <alignment horizontal="center" vertical="center"/>
    </xf>
    <xf numFmtId="0" fontId="4" fillId="9" borderId="0" xfId="0" applyFont="1" applyFill="1" applyAlignment="1">
      <alignment horizontal="left" vertical="center" indent="1"/>
    </xf>
    <xf numFmtId="0" fontId="4" fillId="0" borderId="0" xfId="0" applyFont="1" applyAlignment="1">
      <alignment horizontal="left" indent="1"/>
    </xf>
    <xf numFmtId="0" fontId="4" fillId="0" borderId="0" xfId="0" applyFont="1" applyAlignment="1">
      <alignment horizontal="center"/>
    </xf>
    <xf numFmtId="0" fontId="8" fillId="0" borderId="0" xfId="0" applyFont="1"/>
    <xf numFmtId="0" fontId="40" fillId="0" borderId="0" xfId="0" applyFont="1" applyAlignment="1">
      <alignment horizontal="left" vertical="center" indent="1"/>
    </xf>
    <xf numFmtId="0" fontId="40" fillId="0" borderId="0" xfId="0" applyFont="1" applyAlignment="1">
      <alignment horizontal="center" vertical="center"/>
    </xf>
    <xf numFmtId="10" fontId="41" fillId="0" borderId="0" xfId="0" applyNumberFormat="1" applyFont="1" applyAlignment="1">
      <alignment horizontal="left" indent="1"/>
    </xf>
    <xf numFmtId="2" fontId="41" fillId="0" borderId="0" xfId="0" applyNumberFormat="1" applyFont="1" applyAlignment="1">
      <alignment horizontal="left" indent="1"/>
    </xf>
    <xf numFmtId="165" fontId="41" fillId="0" borderId="0" xfId="0" applyNumberFormat="1" applyFont="1" applyAlignment="1">
      <alignment horizontal="left" indent="1"/>
    </xf>
    <xf numFmtId="1" fontId="41" fillId="0" borderId="0" xfId="0" applyNumberFormat="1" applyFont="1" applyAlignment="1">
      <alignment horizontal="left" indent="1"/>
    </xf>
    <xf numFmtId="0" fontId="4" fillId="0" borderId="119" xfId="0" applyFont="1" applyBorder="1" applyAlignment="1" applyProtection="1">
      <alignment horizontal="left" vertical="center" indent="1"/>
      <protection locked="0"/>
    </xf>
    <xf numFmtId="0" fontId="2" fillId="10" borderId="108" xfId="0" applyFont="1" applyFill="1" applyBorder="1" applyAlignment="1">
      <alignment vertical="center"/>
    </xf>
    <xf numFmtId="2" fontId="2" fillId="10" borderId="108" xfId="0" applyNumberFormat="1" applyFont="1" applyFill="1" applyBorder="1" applyAlignment="1">
      <alignment horizontal="center" vertical="center"/>
    </xf>
    <xf numFmtId="0" fontId="2" fillId="10" borderId="12" xfId="0" applyFont="1" applyFill="1" applyBorder="1" applyAlignment="1">
      <alignment vertical="center"/>
    </xf>
    <xf numFmtId="9" fontId="4" fillId="7" borderId="0" xfId="1" applyFont="1" applyFill="1" applyBorder="1" applyAlignment="1">
      <alignment horizontal="center" vertical="center"/>
    </xf>
    <xf numFmtId="0" fontId="4" fillId="4" borderId="123" xfId="0" applyFont="1" applyFill="1" applyBorder="1" applyAlignment="1">
      <alignment horizontal="left" vertical="center" indent="2"/>
    </xf>
    <xf numFmtId="0" fontId="0" fillId="4" borderId="124" xfId="0" applyFill="1" applyBorder="1" applyAlignment="1">
      <alignment vertical="center"/>
    </xf>
    <xf numFmtId="9" fontId="1" fillId="4" borderId="18" xfId="1" applyFont="1" applyFill="1" applyBorder="1" applyAlignment="1">
      <alignment horizontal="center" vertical="center"/>
    </xf>
    <xf numFmtId="0" fontId="0" fillId="4" borderId="14" xfId="0" applyFill="1" applyBorder="1" applyAlignment="1">
      <alignment horizontal="center" vertical="center"/>
    </xf>
    <xf numFmtId="0" fontId="0" fillId="4" borderId="16" xfId="0" applyFill="1" applyBorder="1" applyAlignment="1">
      <alignment horizontal="center" vertical="center"/>
    </xf>
    <xf numFmtId="0" fontId="17" fillId="10" borderId="0" xfId="0" applyFont="1" applyFill="1" applyAlignment="1">
      <alignment horizontal="left" vertical="center" indent="2"/>
    </xf>
    <xf numFmtId="0" fontId="0" fillId="10" borderId="0" xfId="0" applyFill="1" applyAlignment="1">
      <alignment horizontal="center" vertical="center"/>
    </xf>
    <xf numFmtId="2" fontId="4" fillId="4" borderId="16" xfId="1" applyNumberFormat="1" applyFont="1" applyFill="1" applyBorder="1" applyAlignment="1">
      <alignment horizontal="center" vertical="center"/>
    </xf>
    <xf numFmtId="9" fontId="4" fillId="4" borderId="16" xfId="0" applyNumberFormat="1" applyFont="1" applyFill="1" applyBorder="1" applyAlignment="1">
      <alignment horizontal="center" vertical="center"/>
    </xf>
    <xf numFmtId="0" fontId="4" fillId="4" borderId="18" xfId="0" applyFont="1" applyFill="1" applyBorder="1" applyAlignment="1">
      <alignment horizontal="center" vertical="center"/>
    </xf>
    <xf numFmtId="2" fontId="2" fillId="4" borderId="26" xfId="0" applyNumberFormat="1" applyFont="1" applyFill="1" applyBorder="1" applyAlignment="1">
      <alignment horizontal="center" vertical="center"/>
    </xf>
    <xf numFmtId="164" fontId="4" fillId="4" borderId="20" xfId="0" applyNumberFormat="1" applyFont="1" applyFill="1" applyBorder="1" applyAlignment="1">
      <alignment horizontal="center" vertical="center"/>
    </xf>
    <xf numFmtId="165" fontId="8" fillId="4" borderId="18" xfId="2" applyNumberFormat="1" applyFont="1" applyFill="1" applyBorder="1" applyAlignment="1">
      <alignment horizontal="center" vertical="center"/>
    </xf>
    <xf numFmtId="167" fontId="8" fillId="4" borderId="18" xfId="0" applyNumberFormat="1" applyFont="1" applyFill="1" applyBorder="1" applyAlignment="1">
      <alignment horizontal="center" vertical="center"/>
    </xf>
    <xf numFmtId="165" fontId="8" fillId="4" borderId="18" xfId="0" applyNumberFormat="1" applyFont="1" applyFill="1" applyBorder="1" applyAlignment="1">
      <alignment horizontal="center" vertical="center"/>
    </xf>
    <xf numFmtId="165" fontId="12" fillId="4" borderId="22" xfId="0" applyNumberFormat="1" applyFont="1" applyFill="1" applyBorder="1" applyAlignment="1">
      <alignment horizontal="center" vertical="center"/>
    </xf>
    <xf numFmtId="0" fontId="47" fillId="6" borderId="0" xfId="0" applyFont="1" applyFill="1" applyAlignment="1">
      <alignment vertical="center"/>
    </xf>
    <xf numFmtId="0" fontId="0" fillId="10" borderId="0" xfId="0" applyFill="1" applyAlignment="1">
      <alignment horizontal="left" vertical="center" indent="2"/>
    </xf>
    <xf numFmtId="0" fontId="8" fillId="10" borderId="45" xfId="0" applyFont="1" applyFill="1" applyBorder="1" applyAlignment="1">
      <alignment horizontal="center" vertical="center"/>
    </xf>
    <xf numFmtId="9" fontId="0" fillId="4" borderId="23" xfId="1" applyFont="1" applyFill="1" applyBorder="1" applyAlignment="1" applyProtection="1">
      <alignment horizontal="center" vertical="center"/>
    </xf>
    <xf numFmtId="9" fontId="0" fillId="4" borderId="20" xfId="1" applyFont="1" applyFill="1" applyBorder="1" applyAlignment="1" applyProtection="1">
      <alignment horizontal="center" vertical="center"/>
    </xf>
    <xf numFmtId="9" fontId="0" fillId="4" borderId="21" xfId="1" applyFont="1" applyFill="1" applyBorder="1" applyAlignment="1" applyProtection="1">
      <alignment horizontal="center" vertical="center"/>
    </xf>
    <xf numFmtId="9" fontId="0" fillId="4" borderId="16" xfId="1" applyFont="1" applyFill="1" applyBorder="1" applyAlignment="1" applyProtection="1">
      <alignment horizontal="center" vertical="center"/>
    </xf>
    <xf numFmtId="9" fontId="0" fillId="4" borderId="24" xfId="1" applyFont="1" applyFill="1" applyBorder="1" applyAlignment="1" applyProtection="1">
      <alignment horizontal="center" vertical="center"/>
    </xf>
    <xf numFmtId="0" fontId="0" fillId="4" borderId="24" xfId="0" applyFill="1" applyBorder="1" applyAlignment="1">
      <alignment vertical="center"/>
    </xf>
    <xf numFmtId="0" fontId="0" fillId="4" borderId="18" xfId="0" applyFill="1" applyBorder="1" applyAlignment="1">
      <alignment vertical="center"/>
    </xf>
    <xf numFmtId="0" fontId="18" fillId="3" borderId="0" xfId="0" applyFont="1" applyFill="1" applyAlignment="1">
      <alignment horizontal="left" vertical="center"/>
    </xf>
    <xf numFmtId="0" fontId="18" fillId="0" borderId="0" xfId="0" applyFont="1"/>
    <xf numFmtId="0" fontId="18" fillId="7" borderId="0" xfId="0" applyFont="1" applyFill="1" applyAlignment="1">
      <alignment horizontal="left" vertical="center"/>
    </xf>
    <xf numFmtId="0" fontId="23" fillId="7" borderId="0" xfId="0" applyFont="1" applyFill="1" applyAlignment="1">
      <alignment vertical="center"/>
    </xf>
    <xf numFmtId="0" fontId="18" fillId="7" borderId="0" xfId="0" applyFont="1" applyFill="1"/>
    <xf numFmtId="0" fontId="22" fillId="2" borderId="37" xfId="0" applyFont="1" applyFill="1" applyBorder="1" applyAlignment="1">
      <alignment horizontal="left" vertical="center" indent="2"/>
    </xf>
    <xf numFmtId="0" fontId="21" fillId="10" borderId="38" xfId="0" applyFont="1" applyFill="1" applyBorder="1" applyAlignment="1">
      <alignment horizontal="left" vertical="center"/>
    </xf>
    <xf numFmtId="0" fontId="21" fillId="10" borderId="106" xfId="0" applyFont="1" applyFill="1" applyBorder="1" applyAlignment="1">
      <alignment horizontal="left" vertical="center"/>
    </xf>
    <xf numFmtId="0" fontId="21" fillId="7" borderId="103" xfId="0" applyFont="1" applyFill="1" applyBorder="1" applyAlignment="1">
      <alignment horizontal="left" vertical="center"/>
    </xf>
    <xf numFmtId="9" fontId="0" fillId="4" borderId="100" xfId="1" applyFont="1" applyFill="1" applyBorder="1" applyAlignment="1" applyProtection="1">
      <alignment horizontal="center" vertical="center"/>
    </xf>
    <xf numFmtId="10" fontId="0" fillId="4" borderId="105" xfId="1" applyNumberFormat="1" applyFont="1" applyFill="1" applyBorder="1" applyAlignment="1" applyProtection="1">
      <alignment horizontal="center" vertical="center"/>
    </xf>
    <xf numFmtId="0" fontId="7" fillId="0" borderId="0" xfId="0" applyFont="1"/>
    <xf numFmtId="9" fontId="0" fillId="4" borderId="101" xfId="1" applyFont="1" applyFill="1" applyBorder="1" applyAlignment="1" applyProtection="1">
      <alignment horizontal="center" vertical="center"/>
    </xf>
    <xf numFmtId="0" fontId="0" fillId="7" borderId="103" xfId="0" applyFill="1" applyBorder="1" applyAlignment="1">
      <alignment horizontal="right" vertical="center"/>
    </xf>
    <xf numFmtId="0" fontId="0" fillId="4" borderId="102" xfId="0" applyFill="1" applyBorder="1" applyAlignment="1">
      <alignment vertical="center"/>
    </xf>
    <xf numFmtId="10" fontId="2" fillId="4" borderId="104" xfId="1" applyNumberFormat="1" applyFont="1" applyFill="1" applyBorder="1" applyAlignment="1" applyProtection="1">
      <alignment horizontal="center" vertical="center"/>
    </xf>
    <xf numFmtId="0" fontId="0" fillId="7" borderId="103" xfId="0" applyFill="1" applyBorder="1" applyAlignment="1">
      <alignment vertical="center"/>
    </xf>
    <xf numFmtId="10" fontId="2" fillId="7" borderId="0" xfId="1" applyNumberFormat="1" applyFont="1" applyFill="1" applyAlignment="1" applyProtection="1">
      <alignment horizontal="center" vertical="center"/>
    </xf>
    <xf numFmtId="0" fontId="3" fillId="10" borderId="107" xfId="0" applyFont="1" applyFill="1" applyBorder="1" applyAlignment="1">
      <alignment vertical="center"/>
    </xf>
    <xf numFmtId="0" fontId="3" fillId="7" borderId="103" xfId="0" applyFont="1" applyFill="1" applyBorder="1" applyAlignment="1">
      <alignment vertical="center"/>
    </xf>
    <xf numFmtId="9" fontId="0" fillId="4" borderId="109" xfId="1" applyFont="1" applyFill="1" applyBorder="1" applyAlignment="1" applyProtection="1">
      <alignment horizontal="center" vertical="center"/>
    </xf>
    <xf numFmtId="10" fontId="0" fillId="4" borderId="12" xfId="1" applyNumberFormat="1" applyFont="1" applyFill="1" applyBorder="1" applyAlignment="1" applyProtection="1">
      <alignment horizontal="center" vertical="center"/>
    </xf>
    <xf numFmtId="10" fontId="0" fillId="4" borderId="111" xfId="1" applyNumberFormat="1" applyFont="1" applyFill="1" applyBorder="1" applyAlignment="1" applyProtection="1">
      <alignment horizontal="center" vertical="center"/>
    </xf>
    <xf numFmtId="10" fontId="2" fillId="4" borderId="110" xfId="1" applyNumberFormat="1" applyFont="1" applyFill="1" applyBorder="1" applyAlignment="1" applyProtection="1">
      <alignment horizontal="center" vertical="center"/>
    </xf>
    <xf numFmtId="0" fontId="0" fillId="7" borderId="108" xfId="0" applyFill="1" applyBorder="1" applyAlignment="1">
      <alignment vertical="center"/>
    </xf>
    <xf numFmtId="0" fontId="61" fillId="3" borderId="0" xfId="0" applyFont="1" applyFill="1" applyAlignment="1">
      <alignment horizontal="left" vertical="center" indent="2"/>
    </xf>
    <xf numFmtId="165" fontId="0" fillId="0" borderId="0" xfId="1" applyNumberFormat="1" applyFont="1" applyAlignment="1" applyProtection="1">
      <alignment horizontal="center"/>
    </xf>
    <xf numFmtId="10" fontId="0" fillId="4" borderId="20" xfId="0" applyNumberFormat="1" applyFill="1" applyBorder="1" applyAlignment="1">
      <alignment horizontal="center" vertical="center"/>
    </xf>
    <xf numFmtId="166" fontId="2" fillId="4" borderId="18" xfId="2" applyNumberFormat="1" applyFont="1" applyFill="1" applyBorder="1" applyAlignment="1" applyProtection="1">
      <alignment horizontal="center" vertical="center"/>
    </xf>
    <xf numFmtId="0" fontId="28" fillId="6" borderId="0" xfId="0" applyFont="1" applyFill="1" applyAlignment="1">
      <alignment vertical="center"/>
    </xf>
    <xf numFmtId="165" fontId="28" fillId="6" borderId="0" xfId="0" applyNumberFormat="1" applyFont="1" applyFill="1" applyAlignment="1">
      <alignment vertical="center"/>
    </xf>
    <xf numFmtId="0" fontId="2" fillId="0" borderId="90" xfId="0" applyFont="1" applyBorder="1" applyAlignment="1">
      <alignment vertical="center"/>
    </xf>
    <xf numFmtId="0" fontId="34" fillId="7" borderId="0" xfId="0" applyFont="1" applyFill="1" applyAlignment="1">
      <alignment vertical="center"/>
    </xf>
    <xf numFmtId="0" fontId="2" fillId="0" borderId="91" xfId="0" applyFont="1" applyBorder="1" applyAlignment="1">
      <alignment vertical="center"/>
    </xf>
    <xf numFmtId="0" fontId="60" fillId="10" borderId="0" xfId="0" applyFont="1" applyFill="1" applyAlignment="1">
      <alignment vertical="center"/>
    </xf>
    <xf numFmtId="0" fontId="21" fillId="10" borderId="0" xfId="0" applyFont="1" applyFill="1" applyAlignment="1">
      <alignment horizontal="center" vertical="center" wrapText="1"/>
    </xf>
    <xf numFmtId="165" fontId="21" fillId="10" borderId="0" xfId="0" applyNumberFormat="1" applyFont="1" applyFill="1" applyAlignment="1">
      <alignment horizontal="center" vertical="center" wrapText="1"/>
    </xf>
    <xf numFmtId="0" fontId="2" fillId="7" borderId="0" xfId="0" applyFont="1" applyFill="1" applyAlignment="1">
      <alignment horizontal="right" vertical="center"/>
    </xf>
    <xf numFmtId="0" fontId="0" fillId="0" borderId="91" xfId="0" applyBorder="1" applyAlignment="1">
      <alignment vertical="center"/>
    </xf>
    <xf numFmtId="164" fontId="0" fillId="0" borderId="0" xfId="1" applyNumberFormat="1" applyFont="1" applyAlignment="1" applyProtection="1">
      <alignment horizontal="right" vertical="center"/>
    </xf>
    <xf numFmtId="165" fontId="0" fillId="0" borderId="0" xfId="2" applyNumberFormat="1" applyFont="1" applyAlignment="1" applyProtection="1">
      <alignment horizontal="right" vertical="center"/>
    </xf>
    <xf numFmtId="165" fontId="0" fillId="0" borderId="0" xfId="0" applyNumberFormat="1" applyAlignment="1">
      <alignment horizontal="right" vertical="center"/>
    </xf>
    <xf numFmtId="165" fontId="0" fillId="7" borderId="0" xfId="0" applyNumberFormat="1" applyFill="1" applyAlignment="1">
      <alignment horizontal="right" vertical="center"/>
    </xf>
    <xf numFmtId="0" fontId="41" fillId="0" borderId="91" xfId="0" applyFont="1" applyBorder="1" applyAlignment="1">
      <alignment vertical="center" wrapText="1"/>
    </xf>
    <xf numFmtId="164" fontId="2" fillId="0" borderId="0" xfId="1" applyNumberFormat="1" applyFont="1" applyAlignment="1" applyProtection="1">
      <alignment horizontal="right" vertical="center"/>
    </xf>
    <xf numFmtId="165" fontId="2" fillId="0" borderId="0" xfId="0" applyNumberFormat="1" applyFont="1" applyAlignment="1">
      <alignment horizontal="right" vertical="center"/>
    </xf>
    <xf numFmtId="165" fontId="14" fillId="0" borderId="0" xfId="0" applyNumberFormat="1" applyFont="1" applyAlignment="1">
      <alignment horizontal="right" vertical="center"/>
    </xf>
    <xf numFmtId="165" fontId="13" fillId="7" borderId="0" xfId="0" applyNumberFormat="1" applyFont="1" applyFill="1" applyAlignment="1">
      <alignment horizontal="right" vertical="center"/>
    </xf>
    <xf numFmtId="165" fontId="0" fillId="7" borderId="0" xfId="0" applyNumberFormat="1" applyFill="1" applyAlignment="1">
      <alignment vertical="center"/>
    </xf>
    <xf numFmtId="0" fontId="41" fillId="0" borderId="91" xfId="0" applyFont="1" applyBorder="1" applyAlignment="1">
      <alignment vertical="center"/>
    </xf>
    <xf numFmtId="9" fontId="2" fillId="7" borderId="0" xfId="0" applyNumberFormat="1" applyFont="1" applyFill="1" applyAlignment="1">
      <alignment vertical="center"/>
    </xf>
    <xf numFmtId="165" fontId="0" fillId="7" borderId="0" xfId="2" applyNumberFormat="1" applyFont="1" applyFill="1" applyAlignment="1" applyProtection="1">
      <alignment vertical="center"/>
    </xf>
    <xf numFmtId="9" fontId="0" fillId="7" borderId="0" xfId="0" applyNumberFormat="1" applyFill="1" applyAlignment="1">
      <alignment vertical="center"/>
    </xf>
    <xf numFmtId="10" fontId="0" fillId="7" borderId="0" xfId="0" applyNumberFormat="1" applyFill="1" applyAlignment="1">
      <alignment vertical="center"/>
    </xf>
    <xf numFmtId="2" fontId="0" fillId="7" borderId="0" xfId="0" applyNumberFormat="1" applyFill="1" applyAlignment="1">
      <alignment vertical="center"/>
    </xf>
    <xf numFmtId="9" fontId="0" fillId="7" borderId="0" xfId="1" applyFont="1" applyFill="1" applyAlignment="1" applyProtection="1">
      <alignment vertical="center"/>
    </xf>
    <xf numFmtId="0" fontId="62" fillId="7" borderId="0" xfId="0" applyFont="1" applyFill="1" applyAlignment="1">
      <alignment vertical="center"/>
    </xf>
    <xf numFmtId="0" fontId="27" fillId="7" borderId="0" xfId="3" applyFill="1" applyAlignment="1" applyProtection="1">
      <alignment horizontal="left" vertical="center" wrapText="1" indent="2"/>
      <protection locked="0"/>
    </xf>
    <xf numFmtId="0" fontId="25" fillId="7" borderId="0" xfId="0" applyFont="1" applyFill="1" applyAlignment="1">
      <alignment horizontal="left" vertical="center"/>
    </xf>
    <xf numFmtId="0" fontId="40" fillId="17" borderId="64" xfId="0" applyFont="1" applyFill="1" applyBorder="1" applyAlignment="1">
      <alignment horizontal="left" vertical="center" indent="1"/>
    </xf>
    <xf numFmtId="0" fontId="40" fillId="17" borderId="65" xfId="0" applyFont="1" applyFill="1" applyBorder="1" applyAlignment="1">
      <alignment horizontal="left" vertical="center" indent="1"/>
    </xf>
    <xf numFmtId="0" fontId="0" fillId="19" borderId="0" xfId="0" applyFill="1" applyAlignment="1">
      <alignment horizontal="center" vertical="center"/>
    </xf>
    <xf numFmtId="0" fontId="0" fillId="7" borderId="116" xfId="0" applyFill="1" applyBorder="1" applyAlignment="1">
      <alignment horizontal="center" vertical="center"/>
    </xf>
    <xf numFmtId="0" fontId="0" fillId="7" borderId="115" xfId="0" applyFill="1" applyBorder="1" applyAlignment="1">
      <alignment horizontal="center" vertical="center"/>
    </xf>
    <xf numFmtId="0" fontId="15" fillId="7" borderId="0" xfId="0" applyFont="1" applyFill="1" applyAlignment="1">
      <alignment horizontal="center" vertical="center" wrapText="1"/>
    </xf>
    <xf numFmtId="0" fontId="40" fillId="5" borderId="3" xfId="0" applyFont="1" applyFill="1" applyBorder="1" applyAlignment="1">
      <alignment horizontal="left" vertical="center" indent="1"/>
    </xf>
    <xf numFmtId="0" fontId="40" fillId="5" borderId="4" xfId="0" applyFont="1" applyFill="1" applyBorder="1" applyAlignment="1">
      <alignment horizontal="left" vertical="center" indent="1"/>
    </xf>
    <xf numFmtId="0" fontId="40" fillId="18" borderId="1" xfId="0" applyFont="1" applyFill="1" applyBorder="1" applyAlignment="1">
      <alignment horizontal="left" vertical="center" indent="1"/>
    </xf>
    <xf numFmtId="0" fontId="40" fillId="18" borderId="2" xfId="0" applyFont="1" applyFill="1" applyBorder="1" applyAlignment="1">
      <alignment horizontal="left" vertical="center" indent="1"/>
    </xf>
    <xf numFmtId="0" fontId="25" fillId="4" borderId="0" xfId="0" applyFont="1" applyFill="1" applyAlignment="1" applyProtection="1">
      <alignment horizontal="left" vertical="center"/>
      <protection locked="0"/>
    </xf>
    <xf numFmtId="0" fontId="0" fillId="0" borderId="0" xfId="0" applyAlignment="1">
      <alignment horizontal="left" wrapText="1"/>
    </xf>
    <xf numFmtId="0" fontId="4" fillId="0" borderId="0" xfId="0" applyFont="1" applyAlignment="1">
      <alignment vertical="center" wrapText="1"/>
    </xf>
    <xf numFmtId="0" fontId="4" fillId="0" borderId="0" xfId="0" applyFont="1" applyAlignment="1">
      <alignment vertical="center"/>
    </xf>
    <xf numFmtId="0" fontId="0" fillId="0" borderId="0" xfId="0" applyAlignment="1">
      <alignment horizontal="left" vertical="center" wrapText="1" indent="1"/>
    </xf>
    <xf numFmtId="0" fontId="29" fillId="11" borderId="0" xfId="0" applyFont="1" applyFill="1" applyAlignment="1">
      <alignment horizontal="left" vertical="center" wrapText="1" indent="2"/>
    </xf>
    <xf numFmtId="0" fontId="29" fillId="11" borderId="0" xfId="0" applyFont="1" applyFill="1" applyAlignment="1">
      <alignment horizontal="left" vertical="center" indent="2"/>
    </xf>
    <xf numFmtId="0" fontId="0" fillId="2" borderId="0" xfId="0" applyFill="1" applyAlignment="1">
      <alignment horizontal="center" vertical="center" wrapText="1"/>
    </xf>
    <xf numFmtId="0" fontId="0" fillId="2" borderId="0" xfId="0" applyFill="1" applyAlignment="1">
      <alignment horizontal="center" wrapText="1"/>
    </xf>
    <xf numFmtId="0" fontId="5" fillId="4" borderId="0" xfId="0" applyFont="1" applyFill="1" applyAlignment="1">
      <alignment vertical="center" wrapText="1"/>
    </xf>
    <xf numFmtId="0" fontId="5" fillId="0" borderId="0" xfId="0" applyFont="1" applyAlignment="1">
      <alignment horizontal="left" vertical="center" wrapText="1"/>
    </xf>
    <xf numFmtId="0" fontId="0" fillId="0" borderId="97" xfId="0" applyBorder="1" applyAlignment="1">
      <alignment vertical="center"/>
    </xf>
    <xf numFmtId="0" fontId="0" fillId="0" borderId="0" xfId="0" applyAlignment="1">
      <alignment horizontal="center" vertical="center"/>
    </xf>
    <xf numFmtId="0" fontId="0" fillId="0" borderId="96" xfId="0" applyBorder="1" applyAlignment="1">
      <alignment vertical="center"/>
    </xf>
    <xf numFmtId="0" fontId="2" fillId="0" borderId="0" xfId="0" applyFont="1" applyAlignment="1">
      <alignment horizontal="center" vertical="center" textRotation="90"/>
    </xf>
    <xf numFmtId="9" fontId="6" fillId="0" borderId="0" xfId="1" applyFont="1" applyBorder="1" applyAlignment="1">
      <alignment horizontal="right" vertical="center"/>
    </xf>
    <xf numFmtId="0" fontId="56" fillId="7" borderId="0" xfId="0" applyFont="1" applyFill="1" applyAlignment="1">
      <alignment horizontal="left" vertical="center" wrapText="1"/>
    </xf>
    <xf numFmtId="0" fontId="57" fillId="7" borderId="0" xfId="0" applyFont="1" applyFill="1" applyAlignment="1">
      <alignment vertical="center" wrapText="1"/>
    </xf>
    <xf numFmtId="0" fontId="29" fillId="3" borderId="0" xfId="0" applyFont="1" applyFill="1" applyAlignment="1">
      <alignment horizontal="left" vertical="center" wrapText="1" indent="2"/>
    </xf>
    <xf numFmtId="0" fontId="9" fillId="2" borderId="37" xfId="0" applyFont="1" applyFill="1" applyBorder="1" applyAlignment="1">
      <alignment horizontal="left" vertical="center" wrapText="1" indent="2"/>
    </xf>
    <xf numFmtId="0" fontId="9" fillId="2" borderId="38" xfId="0" applyFont="1" applyFill="1" applyBorder="1" applyAlignment="1">
      <alignment horizontal="left" vertical="center" wrapText="1" indent="2"/>
    </xf>
    <xf numFmtId="9" fontId="0" fillId="4" borderId="125" xfId="0" applyNumberFormat="1" applyFill="1" applyBorder="1" applyAlignment="1">
      <alignment horizontal="center" vertical="center"/>
    </xf>
    <xf numFmtId="165" fontId="2" fillId="4" borderId="102" xfId="0" applyNumberFormat="1" applyFont="1" applyFill="1" applyBorder="1" applyAlignment="1">
      <alignment horizontal="center" vertical="center"/>
    </xf>
    <xf numFmtId="0" fontId="5" fillId="10" borderId="45" xfId="0" applyFont="1" applyFill="1" applyBorder="1" applyAlignment="1">
      <alignment horizontal="center" vertical="center" wrapText="1"/>
    </xf>
    <xf numFmtId="9" fontId="0" fillId="4" borderId="100" xfId="0" applyNumberFormat="1" applyFill="1" applyBorder="1" applyAlignment="1">
      <alignment horizontal="center" vertical="center"/>
    </xf>
    <xf numFmtId="166" fontId="12" fillId="4" borderId="126" xfId="2" applyNumberFormat="1" applyFont="1" applyFill="1" applyBorder="1" applyAlignment="1">
      <alignment horizontal="center" vertical="center"/>
    </xf>
    <xf numFmtId="0" fontId="2" fillId="7" borderId="0" xfId="0" applyFont="1" applyFill="1" applyBorder="1" applyAlignment="1">
      <alignment vertical="center"/>
    </xf>
    <xf numFmtId="0" fontId="3" fillId="7" borderId="0" xfId="0" applyFont="1" applyFill="1" applyBorder="1" applyAlignment="1">
      <alignment vertical="center"/>
    </xf>
    <xf numFmtId="0" fontId="0" fillId="7" borderId="0" xfId="0" applyFill="1" applyBorder="1" applyAlignment="1">
      <alignment vertical="center"/>
    </xf>
    <xf numFmtId="165" fontId="0" fillId="7" borderId="0" xfId="1" applyNumberFormat="1" applyFont="1" applyFill="1" applyBorder="1" applyAlignment="1">
      <alignment horizontal="center" vertical="center"/>
    </xf>
    <xf numFmtId="0" fontId="5" fillId="7" borderId="0" xfId="0" applyFont="1" applyFill="1" applyBorder="1" applyAlignment="1">
      <alignment vertical="center" wrapText="1"/>
    </xf>
    <xf numFmtId="0" fontId="55" fillId="7" borderId="0" xfId="0" applyFont="1" applyFill="1" applyBorder="1" applyAlignment="1">
      <alignment vertical="center" wrapText="1"/>
    </xf>
    <xf numFmtId="0" fontId="55" fillId="7" borderId="0" xfId="0" applyFont="1" applyFill="1" applyBorder="1" applyAlignment="1">
      <alignment horizontal="left" vertical="center" wrapText="1"/>
    </xf>
    <xf numFmtId="0" fontId="5" fillId="7" borderId="0" xfId="0" applyFont="1" applyFill="1" applyBorder="1" applyAlignment="1">
      <alignment vertical="center"/>
    </xf>
    <xf numFmtId="0" fontId="0" fillId="7" borderId="0" xfId="0" applyFill="1" applyBorder="1"/>
    <xf numFmtId="0" fontId="0" fillId="0" borderId="0" xfId="0" applyFill="1" applyAlignment="1">
      <alignment vertical="center"/>
    </xf>
    <xf numFmtId="0" fontId="2" fillId="0" borderId="0" xfId="0" applyFont="1" applyFill="1" applyAlignment="1">
      <alignment horizontal="center" vertical="center"/>
    </xf>
    <xf numFmtId="9" fontId="2" fillId="7" borderId="0" xfId="1" applyFont="1" applyFill="1" applyAlignment="1">
      <alignment horizontal="center" vertical="center"/>
    </xf>
  </cellXfs>
  <cellStyles count="5">
    <cellStyle name="Currency" xfId="2" builtinId="4"/>
    <cellStyle name="Currency 2" xfId="4" xr:uid="{00000000-0005-0000-0000-000001000000}"/>
    <cellStyle name="Hyperlink" xfId="3" builtinId="8"/>
    <cellStyle name="Normal" xfId="0" builtinId="0"/>
    <cellStyle name="Percent" xfId="1" builtinId="5"/>
  </cellStyles>
  <dxfs count="8">
    <dxf>
      <numFmt numFmtId="165" formatCode="&quot;$&quot;#,##0"/>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minor"/>
      </font>
      <numFmt numFmtId="165" formatCode="&quot;$&quot;#,##0"/>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minor"/>
      </font>
      <numFmt numFmtId="164" formatCode="0.0%"/>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minor"/>
      </font>
      <numFmt numFmtId="165" formatCode="&quot;$&quot;#,##0"/>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minor"/>
      </font>
      <numFmt numFmtId="164" formatCode="0.0%"/>
      <alignment horizontal="right" vertical="center" textRotation="0" wrapText="0" indent="0" justifyLastLine="0" shrinkToFit="0" readingOrder="0"/>
      <protection locked="1" hidden="0"/>
    </dxf>
    <dxf>
      <alignment vertical="center" textRotation="0" indent="0" justifyLastLine="0" shrinkToFit="0" readingOrder="0"/>
      <protection locked="1" hidden="0"/>
    </dxf>
    <dxf>
      <alignment vertical="center" textRotation="0" indent="0" justifyLastLine="0" shrinkToFit="0" readingOrder="0"/>
      <protection locked="1" hidden="0"/>
    </dxf>
    <dxf>
      <font>
        <b/>
        <i val="0"/>
        <strike val="0"/>
        <condense val="0"/>
        <extend val="0"/>
        <outline val="0"/>
        <shadow val="0"/>
        <u val="none"/>
        <vertAlign val="baseline"/>
        <sz val="11"/>
        <color theme="1"/>
        <name val="Arial"/>
        <family val="2"/>
        <scheme val="minor"/>
      </font>
      <fill>
        <patternFill patternType="solid">
          <fgColor indexed="64"/>
          <bgColor rgb="FFC8E6B3"/>
        </patternFill>
      </fill>
      <alignment horizontal="right" vertical="center" textRotation="0" wrapText="0" indent="0" justifyLastLine="0" shrinkToFit="0" readingOrder="0"/>
      <protection locked="1" hidden="0"/>
    </dxf>
  </dxfs>
  <tableStyles count="1" defaultTableStyle="TableStyleMedium2" defaultPivotStyle="PivotStyleLight16">
    <tableStyle name="PivotTable Style 1" table="0" count="0" xr9:uid="{00000000-0011-0000-FFFF-FFFF00000000}"/>
  </tableStyles>
  <colors>
    <mruColors>
      <color rgb="FFC8E6B3"/>
      <color rgb="FFCCA640"/>
      <color rgb="FF4F8FAB"/>
      <color rgb="FF93D050"/>
      <color rgb="FF78B832"/>
      <color rgb="FF7AC143"/>
      <color rgb="FF2B5A71"/>
      <color rgb="FFE36F1E"/>
      <color rgb="FF353737"/>
      <color rgb="FF6B6F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alcChain" Target="calcChain.xml"/><Relationship Id="rId26" Type="http://schemas.openxmlformats.org/officeDocument/2006/relationships/customXml" Target="../customXml/item8.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owerPivotData" Target="model/item.data"/><Relationship Id="rId25" Type="http://schemas.openxmlformats.org/officeDocument/2006/relationships/customXml" Target="../customXml/item7.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6.xml"/><Relationship Id="rId5" Type="http://schemas.openxmlformats.org/officeDocument/2006/relationships/worksheet" Target="worksheets/sheet5.xml"/><Relationship Id="rId15" Type="http://schemas.openxmlformats.org/officeDocument/2006/relationships/styles" Target="styles.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 Id="rId22"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InCalf Economic Gap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237270341207348"/>
          <c:y val="0.17171296296296296"/>
          <c:w val="0.85707174103237094"/>
          <c:h val="0.67003098571011954"/>
        </c:manualLayout>
      </c:layout>
      <c:barChart>
        <c:barDir val="col"/>
        <c:grouping val="clustered"/>
        <c:varyColors val="0"/>
        <c:ser>
          <c:idx val="0"/>
          <c:order val="0"/>
          <c:tx>
            <c:strRef>
              <c:f>'Results Page'!$G$3</c:f>
              <c:strCache>
                <c:ptCount val="1"/>
                <c:pt idx="0">
                  <c:v>Total InCalf Economic Gap</c:v>
                </c:pt>
              </c:strCache>
            </c:strRef>
          </c:tx>
          <c:spPr>
            <a:solidFill>
              <a:schemeClr val="accent3"/>
            </a:solidFill>
            <a:ln>
              <a:noFill/>
            </a:ln>
            <a:effectLst/>
          </c:spPr>
          <c:invertIfNegative val="0"/>
          <c:cat>
            <c:strRef>
              <c:f>'Results Page'!$B$4:$B$10</c:f>
              <c:strCache>
                <c:ptCount val="7"/>
                <c:pt idx="0">
                  <c:v>Non-Cycling</c:v>
                </c:pt>
                <c:pt idx="1">
                  <c:v>Heat Detection</c:v>
                </c:pt>
                <c:pt idx="2">
                  <c:v>BCS @ early lactation</c:v>
                </c:pt>
                <c:pt idx="3">
                  <c:v>BCS @ Calving*</c:v>
                </c:pt>
                <c:pt idx="4">
                  <c:v>Cow Health</c:v>
                </c:pt>
                <c:pt idx="5">
                  <c:v>Calving Pattern</c:v>
                </c:pt>
                <c:pt idx="6">
                  <c:v>Heifer Rearing*</c:v>
                </c:pt>
              </c:strCache>
            </c:strRef>
          </c:cat>
          <c:val>
            <c:numRef>
              <c:f>'Results Page'!$G$4:$G$10</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5A83-493D-8927-6E0B24161E6B}"/>
            </c:ext>
          </c:extLst>
        </c:ser>
        <c:dLbls>
          <c:showLegendKey val="0"/>
          <c:showVal val="0"/>
          <c:showCatName val="0"/>
          <c:showSerName val="0"/>
          <c:showPercent val="0"/>
          <c:showBubbleSize val="0"/>
        </c:dLbls>
        <c:gapWidth val="219"/>
        <c:overlap val="-27"/>
        <c:axId val="486664520"/>
        <c:axId val="486661896"/>
      </c:barChart>
      <c:catAx>
        <c:axId val="486664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661896"/>
        <c:crosses val="autoZero"/>
        <c:auto val="1"/>
        <c:lblAlgn val="ctr"/>
        <c:lblOffset val="100"/>
        <c:noMultiLvlLbl val="0"/>
      </c:catAx>
      <c:valAx>
        <c:axId val="48666189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6645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b="1"/>
              <a:t>Your Not-In-Calf Gap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59492563429571"/>
          <c:y val="0.17171296296296296"/>
          <c:w val="0.77766526544398329"/>
          <c:h val="0.53374438022854664"/>
        </c:manualLayout>
      </c:layout>
      <c:barChart>
        <c:barDir val="col"/>
        <c:grouping val="clustered"/>
        <c:varyColors val="0"/>
        <c:ser>
          <c:idx val="0"/>
          <c:order val="0"/>
          <c:tx>
            <c:strRef>
              <c:f>'Results Page'!$E$3</c:f>
              <c:strCache>
                <c:ptCount val="1"/>
                <c:pt idx="0">
                  <c:v>Not-In-Calf Rate Gap</c:v>
                </c:pt>
              </c:strCache>
            </c:strRef>
          </c:tx>
          <c:spPr>
            <a:solidFill>
              <a:schemeClr val="accent3"/>
            </a:solidFill>
            <a:ln>
              <a:noFill/>
            </a:ln>
            <a:effectLst/>
          </c:spPr>
          <c:invertIfNegative val="0"/>
          <c:cat>
            <c:strRef>
              <c:f>'Results Page'!$B$4:$B$10</c:f>
              <c:strCache>
                <c:ptCount val="7"/>
                <c:pt idx="0">
                  <c:v>Non-Cycling</c:v>
                </c:pt>
                <c:pt idx="1">
                  <c:v>Heat Detection</c:v>
                </c:pt>
                <c:pt idx="2">
                  <c:v>BCS @ early lactation</c:v>
                </c:pt>
                <c:pt idx="3">
                  <c:v>BCS @ Calving*</c:v>
                </c:pt>
                <c:pt idx="4">
                  <c:v>Cow Health</c:v>
                </c:pt>
                <c:pt idx="5">
                  <c:v>Calving Pattern</c:v>
                </c:pt>
                <c:pt idx="6">
                  <c:v>Heifer Rearing*</c:v>
                </c:pt>
              </c:strCache>
            </c:strRef>
          </c:cat>
          <c:val>
            <c:numRef>
              <c:f>'Results Page'!$E$4:$E$10</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E350-4949-B1F3-488BB30EF4E8}"/>
            </c:ext>
          </c:extLst>
        </c:ser>
        <c:dLbls>
          <c:showLegendKey val="0"/>
          <c:showVal val="0"/>
          <c:showCatName val="0"/>
          <c:showSerName val="0"/>
          <c:showPercent val="0"/>
          <c:showBubbleSize val="0"/>
        </c:dLbls>
        <c:gapWidth val="219"/>
        <c:overlap val="-27"/>
        <c:axId val="535409744"/>
        <c:axId val="535410072"/>
      </c:barChart>
      <c:catAx>
        <c:axId val="535409744"/>
        <c:scaling>
          <c:orientation val="minMax"/>
        </c:scaling>
        <c:delete val="0"/>
        <c:axPos val="b"/>
        <c:numFmt formatCode="General"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5410072"/>
        <c:crosses val="autoZero"/>
        <c:auto val="1"/>
        <c:lblAlgn val="ctr"/>
        <c:lblOffset val="100"/>
        <c:noMultiLvlLbl val="0"/>
      </c:catAx>
      <c:valAx>
        <c:axId val="5354100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54097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Your In-Calf Gap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5463615544302975E-2"/>
          <c:y val="0.18732323232323234"/>
          <c:w val="0.88045925493289501"/>
          <c:h val="0.53829316789946713"/>
        </c:manualLayout>
      </c:layout>
      <c:barChart>
        <c:barDir val="col"/>
        <c:grouping val="clustered"/>
        <c:varyColors val="0"/>
        <c:ser>
          <c:idx val="0"/>
          <c:order val="0"/>
          <c:tx>
            <c:strRef>
              <c:f>'Results Page'!$C$3</c:f>
              <c:strCache>
                <c:ptCount val="1"/>
                <c:pt idx="0">
                  <c:v>6-Week In-Calf Rate Gap</c:v>
                </c:pt>
              </c:strCache>
            </c:strRef>
          </c:tx>
          <c:spPr>
            <a:solidFill>
              <a:schemeClr val="accent3"/>
            </a:solidFill>
            <a:ln>
              <a:noFill/>
            </a:ln>
            <a:effectLst/>
          </c:spPr>
          <c:invertIfNegative val="0"/>
          <c:cat>
            <c:strRef>
              <c:f>'Results Page'!$B$4:$B$10</c:f>
              <c:strCache>
                <c:ptCount val="7"/>
                <c:pt idx="0">
                  <c:v>Non-Cycling</c:v>
                </c:pt>
                <c:pt idx="1">
                  <c:v>Heat Detection</c:v>
                </c:pt>
                <c:pt idx="2">
                  <c:v>BCS @ early lactation</c:v>
                </c:pt>
                <c:pt idx="3">
                  <c:v>BCS @ Calving*</c:v>
                </c:pt>
                <c:pt idx="4">
                  <c:v>Cow Health</c:v>
                </c:pt>
                <c:pt idx="5">
                  <c:v>Calving Pattern</c:v>
                </c:pt>
                <c:pt idx="6">
                  <c:v>Heifer Rearing*</c:v>
                </c:pt>
              </c:strCache>
            </c:strRef>
          </c:cat>
          <c:val>
            <c:numRef>
              <c:f>'Results Page'!$C$4:$C$10</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AAF8-4AEA-B73C-C8ECD0071359}"/>
            </c:ext>
          </c:extLst>
        </c:ser>
        <c:dLbls>
          <c:showLegendKey val="0"/>
          <c:showVal val="0"/>
          <c:showCatName val="0"/>
          <c:showSerName val="0"/>
          <c:showPercent val="0"/>
          <c:showBubbleSize val="0"/>
        </c:dLbls>
        <c:gapWidth val="219"/>
        <c:overlap val="-27"/>
        <c:axId val="481470680"/>
        <c:axId val="481471664"/>
      </c:barChart>
      <c:catAx>
        <c:axId val="481470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1471664"/>
        <c:crosses val="autoZero"/>
        <c:auto val="1"/>
        <c:lblAlgn val="ctr"/>
        <c:lblOffset val="100"/>
        <c:noMultiLvlLbl val="0"/>
      </c:catAx>
      <c:valAx>
        <c:axId val="48147166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14706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withinLinear" id="16">
  <a:schemeClr val="accent3"/>
</cs:colorStyle>
</file>

<file path=xl/charts/colors3.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Input Sheet'!B11"/><Relationship Id="rId7" Type="http://schemas.openxmlformats.org/officeDocument/2006/relationships/hyperlink" Target="#'Input Sheet'!B14"/><Relationship Id="rId2" Type="http://schemas.openxmlformats.org/officeDocument/2006/relationships/hyperlink" Target="#'Input Sheet'!B10"/><Relationship Id="rId1" Type="http://schemas.openxmlformats.org/officeDocument/2006/relationships/image" Target="../media/image1.png"/><Relationship Id="rId6" Type="http://schemas.openxmlformats.org/officeDocument/2006/relationships/hyperlink" Target="#'Input Sheet'!B19"/><Relationship Id="rId5" Type="http://schemas.openxmlformats.org/officeDocument/2006/relationships/hyperlink" Target="#'Input Sheet'!B8"/><Relationship Id="rId10" Type="http://schemas.openxmlformats.org/officeDocument/2006/relationships/image" Target="../media/image4.png"/><Relationship Id="rId4" Type="http://schemas.openxmlformats.org/officeDocument/2006/relationships/hyperlink" Target="#'Input Sheet'!B24"/><Relationship Id="rId9" Type="http://schemas.openxmlformats.org/officeDocument/2006/relationships/image" Target="../media/image3.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6.png"/><Relationship Id="rId7" Type="http://schemas.openxmlformats.org/officeDocument/2006/relationships/chart" Target="../charts/chart3.xml"/><Relationship Id="rId2" Type="http://schemas.openxmlformats.org/officeDocument/2006/relationships/image" Target="../media/image5.png"/><Relationship Id="rId1" Type="http://schemas.openxmlformats.org/officeDocument/2006/relationships/chart" Target="../charts/chart1.xml"/><Relationship Id="rId6" Type="http://schemas.openxmlformats.org/officeDocument/2006/relationships/image" Target="../media/image8.png"/><Relationship Id="rId11" Type="http://schemas.openxmlformats.org/officeDocument/2006/relationships/image" Target="../media/image2.png"/><Relationship Id="rId5" Type="http://schemas.openxmlformats.org/officeDocument/2006/relationships/image" Target="../media/image7.png"/><Relationship Id="rId10" Type="http://schemas.openxmlformats.org/officeDocument/2006/relationships/image" Target="../media/image4.png"/><Relationship Id="rId4" Type="http://schemas.openxmlformats.org/officeDocument/2006/relationships/chart" Target="../charts/chart2.xml"/><Relationship Id="rId9"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156606</xdr:colOff>
      <xdr:row>4</xdr:row>
      <xdr:rowOff>109536</xdr:rowOff>
    </xdr:from>
    <xdr:to>
      <xdr:col>12</xdr:col>
      <xdr:colOff>379408</xdr:colOff>
      <xdr:row>42</xdr:row>
      <xdr:rowOff>61911</xdr:rowOff>
    </xdr:to>
    <xdr:grpSp>
      <xdr:nvGrpSpPr>
        <xdr:cNvPr id="28" name="Group 27">
          <a:extLst>
            <a:ext uri="{FF2B5EF4-FFF2-40B4-BE49-F238E27FC236}">
              <a16:creationId xmlns:a16="http://schemas.microsoft.com/office/drawing/2014/main" id="{D5E9D433-8001-4161-A3C5-DB7B22160B29}"/>
            </a:ext>
          </a:extLst>
        </xdr:cNvPr>
        <xdr:cNvGrpSpPr/>
      </xdr:nvGrpSpPr>
      <xdr:grpSpPr>
        <a:xfrm>
          <a:off x="159781" y="1413884"/>
          <a:ext cx="8601627" cy="6868679"/>
          <a:chOff x="95250" y="1200150"/>
          <a:chExt cx="7688736" cy="6232845"/>
        </a:xfrm>
      </xdr:grpSpPr>
      <xdr:pic>
        <xdr:nvPicPr>
          <xdr:cNvPr id="2" name="Fertility focus report">
            <a:extLst>
              <a:ext uri="{FF2B5EF4-FFF2-40B4-BE49-F238E27FC236}">
                <a16:creationId xmlns:a16="http://schemas.microsoft.com/office/drawing/2014/main" id="{9A1C13D0-E911-43AB-B511-CA4042AF6931}"/>
              </a:ext>
            </a:extLst>
          </xdr:cNvPr>
          <xdr:cNvPicPr>
            <a:picLocks noChangeAspect="1"/>
          </xdr:cNvPicPr>
        </xdr:nvPicPr>
        <xdr:blipFill>
          <a:blip xmlns:r="http://schemas.openxmlformats.org/officeDocument/2006/relationships" r:embed="rId1"/>
          <a:stretch>
            <a:fillRect/>
          </a:stretch>
        </xdr:blipFill>
        <xdr:spPr>
          <a:xfrm>
            <a:off x="1819274" y="1228726"/>
            <a:ext cx="4391025" cy="6204269"/>
          </a:xfrm>
          <a:prstGeom prst="rect">
            <a:avLst/>
          </a:prstGeom>
        </xdr:spPr>
      </xdr:pic>
      <xdr:grpSp>
        <xdr:nvGrpSpPr>
          <xdr:cNvPr id="27" name="6 week in calf">
            <a:extLst>
              <a:ext uri="{FF2B5EF4-FFF2-40B4-BE49-F238E27FC236}">
                <a16:creationId xmlns:a16="http://schemas.microsoft.com/office/drawing/2014/main" id="{37CAC44C-B6E7-4CB9-A6E7-6AADE489DA0D}"/>
              </a:ext>
            </a:extLst>
          </xdr:cNvPr>
          <xdr:cNvGrpSpPr/>
        </xdr:nvGrpSpPr>
        <xdr:grpSpPr>
          <a:xfrm>
            <a:off x="95250" y="1295400"/>
            <a:ext cx="4038600" cy="2038350"/>
            <a:chOff x="95250" y="1295400"/>
            <a:chExt cx="4038600" cy="2038350"/>
          </a:xfrm>
        </xdr:grpSpPr>
        <xdr:sp macro="" textlink="">
          <xdr:nvSpPr>
            <xdr:cNvPr id="3" name="TextBox 2">
              <a:hlinkClick xmlns:r="http://schemas.openxmlformats.org/officeDocument/2006/relationships" r:id="rId2"/>
              <a:extLst>
                <a:ext uri="{FF2B5EF4-FFF2-40B4-BE49-F238E27FC236}">
                  <a16:creationId xmlns:a16="http://schemas.microsoft.com/office/drawing/2014/main" id="{85499971-BFD6-428D-8003-308FC3C2D85F}"/>
                </a:ext>
              </a:extLst>
            </xdr:cNvPr>
            <xdr:cNvSpPr txBox="1"/>
          </xdr:nvSpPr>
          <xdr:spPr>
            <a:xfrm>
              <a:off x="95250" y="1295400"/>
              <a:ext cx="1495425" cy="203835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NZ" sz="1100"/>
                <a:t>Your </a:t>
              </a:r>
              <a:r>
                <a:rPr lang="en-NZ" sz="1300" b="1"/>
                <a:t>6-Week In-Calf Rate </a:t>
              </a:r>
              <a:r>
                <a:rPr lang="en-NZ" sz="1100"/>
                <a:t>figure</a:t>
              </a:r>
              <a:r>
                <a:rPr lang="en-NZ" sz="1100" baseline="0"/>
                <a:t> is in the first box in this section.</a:t>
              </a:r>
              <a:endParaRPr lang="en-NZ" sz="1100"/>
            </a:p>
            <a:p>
              <a:r>
                <a:rPr lang="en-NZ" sz="1100"/>
                <a:t>The industry target for 6-Week In-Calf Rate is 78%, but you may overwrite this in the input section if you prefer to target something different.</a:t>
              </a:r>
            </a:p>
          </xdr:txBody>
        </xdr:sp>
        <xdr:sp macro="" textlink="">
          <xdr:nvSpPr>
            <xdr:cNvPr id="5" name="Rectangle: Rounded Corners 4">
              <a:extLst>
                <a:ext uri="{FF2B5EF4-FFF2-40B4-BE49-F238E27FC236}">
                  <a16:creationId xmlns:a16="http://schemas.microsoft.com/office/drawing/2014/main" id="{567126AD-9A23-46FF-A7E3-6488204662D0}"/>
                </a:ext>
              </a:extLst>
            </xdr:cNvPr>
            <xdr:cNvSpPr/>
          </xdr:nvSpPr>
          <xdr:spPr>
            <a:xfrm>
              <a:off x="1952625" y="2390775"/>
              <a:ext cx="2181225" cy="885825"/>
            </a:xfrm>
            <a:prstGeom prst="roundRect">
              <a:avLst/>
            </a:prstGeom>
            <a:no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n-NZ" sz="1100"/>
            </a:p>
          </xdr:txBody>
        </xdr:sp>
        <xdr:cxnSp macro="">
          <xdr:nvCxnSpPr>
            <xdr:cNvPr id="17" name="Straight Connector 16">
              <a:extLst>
                <a:ext uri="{FF2B5EF4-FFF2-40B4-BE49-F238E27FC236}">
                  <a16:creationId xmlns:a16="http://schemas.microsoft.com/office/drawing/2014/main" id="{DCAA74EC-C265-4ED5-8746-11AD50F16C05}"/>
                </a:ext>
              </a:extLst>
            </xdr:cNvPr>
            <xdr:cNvCxnSpPr>
              <a:stCxn id="3" idx="3"/>
              <a:endCxn id="5" idx="1"/>
            </xdr:cNvCxnSpPr>
          </xdr:nvCxnSpPr>
          <xdr:spPr>
            <a:xfrm>
              <a:off x="1590675" y="2314575"/>
              <a:ext cx="361950" cy="519113"/>
            </a:xfrm>
            <a:prstGeom prst="line">
              <a:avLst/>
            </a:prstGeom>
            <a:ln w="28575"/>
          </xdr:spPr>
          <xdr:style>
            <a:lnRef idx="1">
              <a:schemeClr val="accent1"/>
            </a:lnRef>
            <a:fillRef idx="0">
              <a:schemeClr val="accent1"/>
            </a:fillRef>
            <a:effectRef idx="0">
              <a:schemeClr val="accent1"/>
            </a:effectRef>
            <a:fontRef idx="minor">
              <a:schemeClr val="tx1"/>
            </a:fontRef>
          </xdr:style>
        </xdr:cxnSp>
      </xdr:grpSp>
      <xdr:grpSp>
        <xdr:nvGrpSpPr>
          <xdr:cNvPr id="22" name="Not in calf rate">
            <a:extLst>
              <a:ext uri="{FF2B5EF4-FFF2-40B4-BE49-F238E27FC236}">
                <a16:creationId xmlns:a16="http://schemas.microsoft.com/office/drawing/2014/main" id="{6C105385-7EA8-4A64-8E08-CA8A3217FA2A}"/>
              </a:ext>
            </a:extLst>
          </xdr:cNvPr>
          <xdr:cNvGrpSpPr/>
        </xdr:nvGrpSpPr>
        <xdr:grpSpPr>
          <a:xfrm>
            <a:off x="114300" y="3257550"/>
            <a:ext cx="4048125" cy="1952624"/>
            <a:chOff x="114300" y="3257550"/>
            <a:chExt cx="4048125" cy="1952624"/>
          </a:xfrm>
        </xdr:grpSpPr>
        <xdr:sp macro="" textlink="">
          <xdr:nvSpPr>
            <xdr:cNvPr id="6" name="Rectangle: Rounded Corners 5">
              <a:extLst>
                <a:ext uri="{FF2B5EF4-FFF2-40B4-BE49-F238E27FC236}">
                  <a16:creationId xmlns:a16="http://schemas.microsoft.com/office/drawing/2014/main" id="{8805C56A-D071-444B-AE4A-F6F601E31C28}"/>
                </a:ext>
              </a:extLst>
            </xdr:cNvPr>
            <xdr:cNvSpPr/>
          </xdr:nvSpPr>
          <xdr:spPr>
            <a:xfrm>
              <a:off x="1981200" y="3257550"/>
              <a:ext cx="2181225" cy="619125"/>
            </a:xfrm>
            <a:prstGeom prst="roundRect">
              <a:avLst/>
            </a:prstGeom>
            <a:noFill/>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n-NZ" sz="1100"/>
            </a:p>
          </xdr:txBody>
        </xdr:sp>
        <xdr:sp macro="" textlink="">
          <xdr:nvSpPr>
            <xdr:cNvPr id="8" name="TextBox 7">
              <a:hlinkClick xmlns:r="http://schemas.openxmlformats.org/officeDocument/2006/relationships" r:id="rId3"/>
              <a:extLst>
                <a:ext uri="{FF2B5EF4-FFF2-40B4-BE49-F238E27FC236}">
                  <a16:creationId xmlns:a16="http://schemas.microsoft.com/office/drawing/2014/main" id="{E7D26F8B-7CC8-4B63-90ED-0E8B12DE1015}"/>
                </a:ext>
              </a:extLst>
            </xdr:cNvPr>
            <xdr:cNvSpPr txBox="1"/>
          </xdr:nvSpPr>
          <xdr:spPr>
            <a:xfrm>
              <a:off x="114300" y="3438523"/>
              <a:ext cx="1476375" cy="1771651"/>
            </a:xfrm>
            <a:prstGeom prst="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lang="en-NZ" sz="1100"/>
                <a:t>The first box</a:t>
              </a:r>
              <a:r>
                <a:rPr lang="en-NZ" sz="1100" baseline="0"/>
                <a:t> in this section is yo</a:t>
              </a:r>
              <a:r>
                <a:rPr lang="en-NZ" sz="1100"/>
                <a:t>ur </a:t>
              </a:r>
              <a:r>
                <a:rPr lang="en-NZ" sz="1300" b="1"/>
                <a:t>Not-In-Calf Rate Figure</a:t>
              </a:r>
            </a:p>
            <a:p>
              <a:endParaRPr lang="en-NZ" sz="1100"/>
            </a:p>
            <a:p>
              <a:r>
                <a:rPr lang="en-NZ" sz="1100"/>
                <a:t>The second box in this section is your </a:t>
              </a:r>
              <a:r>
                <a:rPr lang="en-NZ" sz="1300" b="1"/>
                <a:t>Targeted</a:t>
              </a:r>
              <a:r>
                <a:rPr lang="en-NZ" sz="1300" b="1" baseline="0"/>
                <a:t> Not-In-Calf Rate figure.</a:t>
              </a:r>
              <a:endParaRPr lang="en-NZ" sz="1300" b="1"/>
            </a:p>
          </xdr:txBody>
        </xdr:sp>
        <xdr:cxnSp macro="">
          <xdr:nvCxnSpPr>
            <xdr:cNvPr id="18" name="Straight Connector 17">
              <a:extLst>
                <a:ext uri="{FF2B5EF4-FFF2-40B4-BE49-F238E27FC236}">
                  <a16:creationId xmlns:a16="http://schemas.microsoft.com/office/drawing/2014/main" id="{63FC6F7D-9488-4540-B646-1F9CF9F19936}"/>
                </a:ext>
              </a:extLst>
            </xdr:cNvPr>
            <xdr:cNvCxnSpPr>
              <a:stCxn id="8" idx="3"/>
            </xdr:cNvCxnSpPr>
          </xdr:nvCxnSpPr>
          <xdr:spPr>
            <a:xfrm flipV="1">
              <a:off x="1590675" y="3676650"/>
              <a:ext cx="371475" cy="647699"/>
            </a:xfrm>
            <a:prstGeom prst="line">
              <a:avLst/>
            </a:prstGeom>
            <a:ln w="28575"/>
          </xdr:spPr>
          <xdr:style>
            <a:lnRef idx="1">
              <a:schemeClr val="accent3"/>
            </a:lnRef>
            <a:fillRef idx="0">
              <a:schemeClr val="accent3"/>
            </a:fillRef>
            <a:effectRef idx="0">
              <a:schemeClr val="accent3"/>
            </a:effectRef>
            <a:fontRef idx="minor">
              <a:schemeClr val="tx1"/>
            </a:fontRef>
          </xdr:style>
        </xdr:cxnSp>
      </xdr:grpSp>
      <xdr:grpSp>
        <xdr:nvGrpSpPr>
          <xdr:cNvPr id="16" name="Heat detection efficiency">
            <a:extLst>
              <a:ext uri="{FF2B5EF4-FFF2-40B4-BE49-F238E27FC236}">
                <a16:creationId xmlns:a16="http://schemas.microsoft.com/office/drawing/2014/main" id="{0B72F482-7378-49F6-BAB3-27DB3478AFC4}"/>
              </a:ext>
            </a:extLst>
          </xdr:cNvPr>
          <xdr:cNvGrpSpPr/>
        </xdr:nvGrpSpPr>
        <xdr:grpSpPr>
          <a:xfrm>
            <a:off x="107070" y="5534025"/>
            <a:ext cx="4588755" cy="1352549"/>
            <a:chOff x="107070" y="5534025"/>
            <a:chExt cx="4588755" cy="1352549"/>
          </a:xfrm>
        </xdr:grpSpPr>
        <xdr:sp macro="" textlink="">
          <xdr:nvSpPr>
            <xdr:cNvPr id="11" name="Rectangle: Rounded Corners 10">
              <a:extLst>
                <a:ext uri="{FF2B5EF4-FFF2-40B4-BE49-F238E27FC236}">
                  <a16:creationId xmlns:a16="http://schemas.microsoft.com/office/drawing/2014/main" id="{6F25CDA8-C780-4073-B924-2A9B3219B837}"/>
                </a:ext>
              </a:extLst>
            </xdr:cNvPr>
            <xdr:cNvSpPr/>
          </xdr:nvSpPr>
          <xdr:spPr>
            <a:xfrm>
              <a:off x="3324224" y="5657849"/>
              <a:ext cx="1371601" cy="638176"/>
            </a:xfrm>
            <a:prstGeom prst="roundRect">
              <a:avLst/>
            </a:prstGeom>
            <a:noFill/>
            <a:ln>
              <a:solidFill>
                <a:srgbClr val="FFC0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lang="en-NZ" sz="1100"/>
            </a:p>
          </xdr:txBody>
        </xdr:sp>
        <xdr:sp macro="" textlink="">
          <xdr:nvSpPr>
            <xdr:cNvPr id="13" name="TextBox 12">
              <a:hlinkClick xmlns:r="http://schemas.openxmlformats.org/officeDocument/2006/relationships" r:id="rId4"/>
              <a:extLst>
                <a:ext uri="{FF2B5EF4-FFF2-40B4-BE49-F238E27FC236}">
                  <a16:creationId xmlns:a16="http://schemas.microsoft.com/office/drawing/2014/main" id="{8FB94052-39F1-4DDD-BD42-745D938F65A3}"/>
                </a:ext>
              </a:extLst>
            </xdr:cNvPr>
            <xdr:cNvSpPr txBox="1"/>
          </xdr:nvSpPr>
          <xdr:spPr>
            <a:xfrm>
              <a:off x="107070" y="5534025"/>
              <a:ext cx="1476434" cy="1352549"/>
            </a:xfrm>
            <a:prstGeom prst="rect">
              <a:avLst/>
            </a:prstGeom>
            <a:noFill/>
            <a:ln>
              <a:solidFill>
                <a:srgbClr val="FFC000"/>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lang="en-NZ" sz="1300" b="1">
                  <a:solidFill>
                    <a:schemeClr val="dk1"/>
                  </a:solidFill>
                  <a:effectLst/>
                  <a:latin typeface="+mn-lt"/>
                  <a:ea typeface="+mn-ea"/>
                  <a:cs typeface="+mn-cs"/>
                </a:rPr>
                <a:t>Heat Detection Efficiency</a:t>
              </a:r>
            </a:p>
            <a:p>
              <a:r>
                <a:rPr lang="en-NZ" sz="1100" b="0">
                  <a:solidFill>
                    <a:sysClr val="windowText" lastClr="000000"/>
                  </a:solidFill>
                </a:rPr>
                <a:t>The top figure here is your farms</a:t>
              </a:r>
              <a:r>
                <a:rPr lang="en-NZ" sz="1100" b="0" baseline="0">
                  <a:solidFill>
                    <a:sysClr val="windowText" lastClr="000000"/>
                  </a:solidFill>
                </a:rPr>
                <a:t> heat detection efficiency for the specified mating period.</a:t>
              </a:r>
              <a:endParaRPr lang="en-NZ" sz="1100"/>
            </a:p>
          </xdr:txBody>
        </xdr:sp>
        <xdr:cxnSp macro="">
          <xdr:nvCxnSpPr>
            <xdr:cNvPr id="19" name="Straight Connector 18">
              <a:extLst>
                <a:ext uri="{FF2B5EF4-FFF2-40B4-BE49-F238E27FC236}">
                  <a16:creationId xmlns:a16="http://schemas.microsoft.com/office/drawing/2014/main" id="{BDA65269-0500-4B51-8FC2-49204065CF59}"/>
                </a:ext>
              </a:extLst>
            </xdr:cNvPr>
            <xdr:cNvCxnSpPr>
              <a:stCxn id="13" idx="3"/>
              <a:endCxn id="11" idx="1"/>
            </xdr:cNvCxnSpPr>
          </xdr:nvCxnSpPr>
          <xdr:spPr>
            <a:xfrm flipV="1">
              <a:off x="1583504" y="5976936"/>
              <a:ext cx="1740720" cy="233364"/>
            </a:xfrm>
            <a:prstGeom prst="line">
              <a:avLst/>
            </a:prstGeom>
            <a:ln w="28575">
              <a:solidFill>
                <a:srgbClr val="FFC000"/>
              </a:solidFill>
            </a:ln>
          </xdr:spPr>
          <xdr:style>
            <a:lnRef idx="1">
              <a:schemeClr val="accent4"/>
            </a:lnRef>
            <a:fillRef idx="0">
              <a:schemeClr val="accent4"/>
            </a:fillRef>
            <a:effectRef idx="0">
              <a:schemeClr val="accent4"/>
            </a:effectRef>
            <a:fontRef idx="minor">
              <a:schemeClr val="tx1"/>
            </a:fontRef>
          </xdr:style>
        </xdr:cxnSp>
      </xdr:grpSp>
      <xdr:grpSp>
        <xdr:nvGrpSpPr>
          <xdr:cNvPr id="20" name="Mating start date">
            <a:extLst>
              <a:ext uri="{FF2B5EF4-FFF2-40B4-BE49-F238E27FC236}">
                <a16:creationId xmlns:a16="http://schemas.microsoft.com/office/drawing/2014/main" id="{9D143AC3-2D9A-421E-A7FF-253ED4C08A28}"/>
              </a:ext>
            </a:extLst>
          </xdr:cNvPr>
          <xdr:cNvGrpSpPr/>
        </xdr:nvGrpSpPr>
        <xdr:grpSpPr>
          <a:xfrm>
            <a:off x="4772177" y="1200150"/>
            <a:ext cx="3000223" cy="1295400"/>
            <a:chOff x="4772177" y="1200150"/>
            <a:chExt cx="3000223" cy="1295400"/>
          </a:xfrm>
        </xdr:grpSpPr>
        <xdr:sp macro="" textlink="">
          <xdr:nvSpPr>
            <xdr:cNvPr id="7" name="Rectangle: Rounded Corners 6">
              <a:extLst>
                <a:ext uri="{FF2B5EF4-FFF2-40B4-BE49-F238E27FC236}">
                  <a16:creationId xmlns:a16="http://schemas.microsoft.com/office/drawing/2014/main" id="{CABECA48-0C22-481C-AAB6-6A261229C62C}"/>
                </a:ext>
              </a:extLst>
            </xdr:cNvPr>
            <xdr:cNvSpPr/>
          </xdr:nvSpPr>
          <xdr:spPr>
            <a:xfrm>
              <a:off x="4772177" y="1966690"/>
              <a:ext cx="704851" cy="266701"/>
            </a:xfrm>
            <a:prstGeom prst="roundRect">
              <a:avLst/>
            </a:prstGeom>
            <a:noFill/>
            <a:ln>
              <a:solidFill>
                <a:srgbClr val="FFC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NZ" sz="1100"/>
            </a:p>
          </xdr:txBody>
        </xdr:sp>
        <xdr:sp macro="" textlink="">
          <xdr:nvSpPr>
            <xdr:cNvPr id="9" name="TextBox 8">
              <a:hlinkClick xmlns:r="http://schemas.openxmlformats.org/officeDocument/2006/relationships" r:id="rId5"/>
              <a:extLst>
                <a:ext uri="{FF2B5EF4-FFF2-40B4-BE49-F238E27FC236}">
                  <a16:creationId xmlns:a16="http://schemas.microsoft.com/office/drawing/2014/main" id="{BBFDA05C-86B9-4F20-93F0-359B17644DBE}"/>
                </a:ext>
              </a:extLst>
            </xdr:cNvPr>
            <xdr:cNvSpPr txBox="1"/>
          </xdr:nvSpPr>
          <xdr:spPr>
            <a:xfrm>
              <a:off x="6381750" y="1200150"/>
              <a:ext cx="1390650" cy="1295400"/>
            </a:xfrm>
            <a:prstGeom prst="rect">
              <a:avLst/>
            </a:prstGeom>
            <a:solidFill>
              <a:sysClr val="window" lastClr="FFFFFF"/>
            </a:solidFill>
            <a:ln>
              <a:solidFill>
                <a:srgbClr val="FFC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lang="en-NZ" sz="1100" b="0">
                  <a:solidFill>
                    <a:sysClr val="windowText" lastClr="000000"/>
                  </a:solidFill>
                </a:rPr>
                <a:t>These two boxes are where you can find your </a:t>
              </a:r>
              <a:r>
                <a:rPr lang="en-NZ" sz="1300" b="1">
                  <a:solidFill>
                    <a:sysClr val="windowText" lastClr="000000"/>
                  </a:solidFill>
                </a:rPr>
                <a:t>Mating Start Date (MSD)</a:t>
              </a:r>
              <a:r>
                <a:rPr lang="en-NZ" sz="1100" b="0" baseline="0">
                  <a:solidFill>
                    <a:sysClr val="windowText" lastClr="000000"/>
                  </a:solidFill>
                </a:rPr>
                <a:t> and </a:t>
              </a:r>
              <a:r>
                <a:rPr lang="en-NZ" sz="1300" b="1" baseline="0">
                  <a:solidFill>
                    <a:sysClr val="windowText" lastClr="000000"/>
                  </a:solidFill>
                </a:rPr>
                <a:t>Planned Start of Calving (PSC).</a:t>
              </a:r>
              <a:endParaRPr lang="en-NZ" sz="1300" b="1"/>
            </a:p>
          </xdr:txBody>
        </xdr:sp>
        <xdr:cxnSp macro="">
          <xdr:nvCxnSpPr>
            <xdr:cNvPr id="21" name="Straight Connector 20">
              <a:extLst>
                <a:ext uri="{FF2B5EF4-FFF2-40B4-BE49-F238E27FC236}">
                  <a16:creationId xmlns:a16="http://schemas.microsoft.com/office/drawing/2014/main" id="{A6A4E294-8DBC-415D-9709-EE27A4AA0552}"/>
                </a:ext>
              </a:extLst>
            </xdr:cNvPr>
            <xdr:cNvCxnSpPr>
              <a:stCxn id="7" idx="3"/>
            </xdr:cNvCxnSpPr>
          </xdr:nvCxnSpPr>
          <xdr:spPr>
            <a:xfrm flipV="1">
              <a:off x="5477028" y="1800077"/>
              <a:ext cx="914247" cy="299963"/>
            </a:xfrm>
            <a:prstGeom prst="line">
              <a:avLst/>
            </a:prstGeom>
            <a:ln w="28575">
              <a:solidFill>
                <a:srgbClr val="FFC000"/>
              </a:solidFill>
            </a:ln>
          </xdr:spPr>
          <xdr:style>
            <a:lnRef idx="1">
              <a:schemeClr val="accent3"/>
            </a:lnRef>
            <a:fillRef idx="0">
              <a:schemeClr val="accent3"/>
            </a:fillRef>
            <a:effectRef idx="0">
              <a:schemeClr val="accent3"/>
            </a:effectRef>
            <a:fontRef idx="minor">
              <a:schemeClr val="tx1"/>
            </a:fontRef>
          </xdr:style>
        </xdr:cxnSp>
      </xdr:grpSp>
      <xdr:grpSp>
        <xdr:nvGrpSpPr>
          <xdr:cNvPr id="12" name="Premating heats">
            <a:extLst>
              <a:ext uri="{FF2B5EF4-FFF2-40B4-BE49-F238E27FC236}">
                <a16:creationId xmlns:a16="http://schemas.microsoft.com/office/drawing/2014/main" id="{06E5DE22-2DD3-4561-82D5-5E0C27C35F99}"/>
              </a:ext>
            </a:extLst>
          </xdr:cNvPr>
          <xdr:cNvGrpSpPr/>
        </xdr:nvGrpSpPr>
        <xdr:grpSpPr>
          <a:xfrm>
            <a:off x="4695824" y="4762500"/>
            <a:ext cx="3086101" cy="2238375"/>
            <a:chOff x="4695824" y="4762500"/>
            <a:chExt cx="3086101" cy="2238375"/>
          </a:xfrm>
        </xdr:grpSpPr>
        <xdr:sp macro="" textlink="">
          <xdr:nvSpPr>
            <xdr:cNvPr id="14" name="Rectangle: Rounded Corners 13">
              <a:extLst>
                <a:ext uri="{FF2B5EF4-FFF2-40B4-BE49-F238E27FC236}">
                  <a16:creationId xmlns:a16="http://schemas.microsoft.com/office/drawing/2014/main" id="{07B2D003-28EA-45C3-929F-FFE3E42C571B}"/>
                </a:ext>
              </a:extLst>
            </xdr:cNvPr>
            <xdr:cNvSpPr/>
          </xdr:nvSpPr>
          <xdr:spPr>
            <a:xfrm>
              <a:off x="4695824" y="4762500"/>
              <a:ext cx="1371601" cy="1619250"/>
            </a:xfrm>
            <a:prstGeom prst="roundRect">
              <a:avLst/>
            </a:prstGeom>
            <a:noFill/>
            <a:ln>
              <a:solidFill>
                <a:schemeClr val="bg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NZ" sz="1100"/>
            </a:p>
          </xdr:txBody>
        </xdr:sp>
        <xdr:sp macro="" textlink="">
          <xdr:nvSpPr>
            <xdr:cNvPr id="15" name="TextBox 14">
              <a:hlinkClick xmlns:r="http://schemas.openxmlformats.org/officeDocument/2006/relationships" r:id="rId6"/>
              <a:extLst>
                <a:ext uri="{FF2B5EF4-FFF2-40B4-BE49-F238E27FC236}">
                  <a16:creationId xmlns:a16="http://schemas.microsoft.com/office/drawing/2014/main" id="{AE58DDC9-3470-416F-A60E-DB8474EDA9BE}"/>
                </a:ext>
              </a:extLst>
            </xdr:cNvPr>
            <xdr:cNvSpPr txBox="1"/>
          </xdr:nvSpPr>
          <xdr:spPr>
            <a:xfrm>
              <a:off x="6381750" y="4857748"/>
              <a:ext cx="1400175" cy="2143127"/>
            </a:xfrm>
            <a:prstGeom prst="rect">
              <a:avLst/>
            </a:prstGeom>
            <a:noFill/>
            <a:ln>
              <a:solidFill>
                <a:schemeClr val="bg2"/>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en-NZ" sz="1100" b="0">
                  <a:solidFill>
                    <a:sysClr val="windowText" lastClr="000000"/>
                  </a:solidFill>
                </a:rPr>
                <a:t>If you record </a:t>
              </a:r>
              <a:r>
                <a:rPr lang="en-NZ" sz="1300" b="1">
                  <a:solidFill>
                    <a:sysClr val="windowText" lastClr="000000"/>
                  </a:solidFill>
                </a:rPr>
                <a:t>premating heats</a:t>
              </a:r>
              <a:r>
                <a:rPr lang="en-NZ" sz="1100" b="0">
                  <a:solidFill>
                    <a:sysClr val="windowText" lastClr="000000"/>
                  </a:solidFill>
                </a:rPr>
                <a:t> or</a:t>
              </a:r>
              <a:r>
                <a:rPr lang="en-NZ" sz="1100" b="0" baseline="0">
                  <a:solidFill>
                    <a:sysClr val="windowText" lastClr="000000"/>
                  </a:solidFill>
                </a:rPr>
                <a:t> </a:t>
              </a:r>
              <a:r>
                <a:rPr lang="en-NZ" sz="1300" b="1" baseline="0">
                  <a:solidFill>
                    <a:sysClr val="windowText" lastClr="000000"/>
                  </a:solidFill>
                </a:rPr>
                <a:t>non-cycling cows </a:t>
              </a:r>
              <a:r>
                <a:rPr lang="en-NZ" sz="1100" b="0" baseline="0">
                  <a:solidFill>
                    <a:sysClr val="windowText" lastClr="000000"/>
                  </a:solidFill>
                </a:rPr>
                <a:t>into your herd recording software, you will find the figures here, otherwise use the second option on the input sheet to calculate this figure.</a:t>
              </a:r>
              <a:endParaRPr lang="en-NZ" sz="1100"/>
            </a:p>
          </xdr:txBody>
        </xdr:sp>
        <xdr:cxnSp macro="">
          <xdr:nvCxnSpPr>
            <xdr:cNvPr id="23" name="Straight Connector 22">
              <a:extLst>
                <a:ext uri="{FF2B5EF4-FFF2-40B4-BE49-F238E27FC236}">
                  <a16:creationId xmlns:a16="http://schemas.microsoft.com/office/drawing/2014/main" id="{B3DCD65E-C91D-4D77-A39F-9F4104EDEDC4}"/>
                </a:ext>
              </a:extLst>
            </xdr:cNvPr>
            <xdr:cNvCxnSpPr/>
          </xdr:nvCxnSpPr>
          <xdr:spPr>
            <a:xfrm>
              <a:off x="6086475" y="5562600"/>
              <a:ext cx="304800" cy="152400"/>
            </a:xfrm>
            <a:prstGeom prst="line">
              <a:avLst/>
            </a:prstGeom>
            <a:ln w="28575">
              <a:solidFill>
                <a:schemeClr val="bg2"/>
              </a:solidFill>
            </a:ln>
          </xdr:spPr>
          <xdr:style>
            <a:lnRef idx="1">
              <a:schemeClr val="accent3"/>
            </a:lnRef>
            <a:fillRef idx="0">
              <a:schemeClr val="accent3"/>
            </a:fillRef>
            <a:effectRef idx="0">
              <a:schemeClr val="accent3"/>
            </a:effectRef>
            <a:fontRef idx="minor">
              <a:schemeClr val="tx1"/>
            </a:fontRef>
          </xdr:style>
        </xdr:cxnSp>
      </xdr:grpSp>
      <xdr:grpSp>
        <xdr:nvGrpSpPr>
          <xdr:cNvPr id="4" name="Total length of mating">
            <a:extLst>
              <a:ext uri="{FF2B5EF4-FFF2-40B4-BE49-F238E27FC236}">
                <a16:creationId xmlns:a16="http://schemas.microsoft.com/office/drawing/2014/main" id="{23C6475B-9A5E-4042-8673-680A89C612D2}"/>
              </a:ext>
            </a:extLst>
          </xdr:cNvPr>
          <xdr:cNvGrpSpPr/>
        </xdr:nvGrpSpPr>
        <xdr:grpSpPr>
          <a:xfrm>
            <a:off x="4779837" y="2235440"/>
            <a:ext cx="3004149" cy="1088785"/>
            <a:chOff x="4779837" y="2235440"/>
            <a:chExt cx="3004149" cy="1088785"/>
          </a:xfrm>
        </xdr:grpSpPr>
        <xdr:sp macro="" textlink="">
          <xdr:nvSpPr>
            <xdr:cNvPr id="37" name="Rectangle: Rounded Corners 36">
              <a:extLst>
                <a:ext uri="{FF2B5EF4-FFF2-40B4-BE49-F238E27FC236}">
                  <a16:creationId xmlns:a16="http://schemas.microsoft.com/office/drawing/2014/main" id="{935BB7B1-590B-4CF7-8FCF-E262346B8871}"/>
                </a:ext>
              </a:extLst>
            </xdr:cNvPr>
            <xdr:cNvSpPr/>
          </xdr:nvSpPr>
          <xdr:spPr>
            <a:xfrm>
              <a:off x="4779837" y="2235440"/>
              <a:ext cx="704851" cy="161926"/>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NZ" sz="1100"/>
            </a:p>
          </xdr:txBody>
        </xdr:sp>
        <xdr:sp macro="" textlink="">
          <xdr:nvSpPr>
            <xdr:cNvPr id="41" name="TextBox 40">
              <a:hlinkClick xmlns:r="http://schemas.openxmlformats.org/officeDocument/2006/relationships" r:id="rId7"/>
              <a:extLst>
                <a:ext uri="{FF2B5EF4-FFF2-40B4-BE49-F238E27FC236}">
                  <a16:creationId xmlns:a16="http://schemas.microsoft.com/office/drawing/2014/main" id="{15FB189A-8CAA-4CB3-97A1-DCB54D38F1F6}"/>
                </a:ext>
              </a:extLst>
            </xdr:cNvPr>
            <xdr:cNvSpPr txBox="1"/>
          </xdr:nvSpPr>
          <xdr:spPr>
            <a:xfrm>
              <a:off x="6402861" y="2752725"/>
              <a:ext cx="1381125" cy="5715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NZ" sz="1100" b="0">
                  <a:solidFill>
                    <a:sysClr val="windowText" lastClr="000000"/>
                  </a:solidFill>
                </a:rPr>
                <a:t>Total </a:t>
              </a:r>
              <a:r>
                <a:rPr lang="en-NZ" sz="1300" b="1">
                  <a:solidFill>
                    <a:sysClr val="windowText" lastClr="000000"/>
                  </a:solidFill>
                </a:rPr>
                <a:t>length of mating</a:t>
              </a:r>
              <a:endParaRPr lang="en-NZ" sz="1300" b="1"/>
            </a:p>
          </xdr:txBody>
        </xdr:sp>
        <xdr:cxnSp macro="">
          <xdr:nvCxnSpPr>
            <xdr:cNvPr id="42" name="Straight Connector 41">
              <a:extLst>
                <a:ext uri="{FF2B5EF4-FFF2-40B4-BE49-F238E27FC236}">
                  <a16:creationId xmlns:a16="http://schemas.microsoft.com/office/drawing/2014/main" id="{A1A0FD3D-3DA0-4414-90EF-98D1E1C602CD}"/>
                </a:ext>
              </a:extLst>
            </xdr:cNvPr>
            <xdr:cNvCxnSpPr>
              <a:endCxn id="41" idx="1"/>
            </xdr:cNvCxnSpPr>
          </xdr:nvCxnSpPr>
          <xdr:spPr>
            <a:xfrm>
              <a:off x="5490308" y="2407945"/>
              <a:ext cx="912553" cy="630530"/>
            </a:xfrm>
            <a:prstGeom prst="line">
              <a:avLst/>
            </a:prstGeom>
            <a:ln w="28575">
              <a:solidFill>
                <a:sysClr val="windowText" lastClr="000000"/>
              </a:solidFill>
            </a:ln>
          </xdr:spPr>
          <xdr:style>
            <a:lnRef idx="1">
              <a:schemeClr val="accent3"/>
            </a:lnRef>
            <a:fillRef idx="0">
              <a:schemeClr val="accent3"/>
            </a:fillRef>
            <a:effectRef idx="0">
              <a:schemeClr val="accent3"/>
            </a:effectRef>
            <a:fontRef idx="minor">
              <a:schemeClr val="tx1"/>
            </a:fontRef>
          </xdr:style>
        </xdr:cxnSp>
      </xdr:grpSp>
    </xdr:grpSp>
    <xdr:clientData/>
  </xdr:twoCellAnchor>
  <xdr:twoCellAnchor editAs="oneCell">
    <xdr:from>
      <xdr:col>12</xdr:col>
      <xdr:colOff>0</xdr:colOff>
      <xdr:row>0</xdr:row>
      <xdr:rowOff>81642</xdr:rowOff>
    </xdr:from>
    <xdr:to>
      <xdr:col>12</xdr:col>
      <xdr:colOff>500629</xdr:colOff>
      <xdr:row>0</xdr:row>
      <xdr:rowOff>600975</xdr:rowOff>
    </xdr:to>
    <xdr:pic>
      <xdr:nvPicPr>
        <xdr:cNvPr id="35" name="Picture 34">
          <a:extLst>
            <a:ext uri="{FF2B5EF4-FFF2-40B4-BE49-F238E27FC236}">
              <a16:creationId xmlns:a16="http://schemas.microsoft.com/office/drawing/2014/main" id="{5DA12878-4E73-4479-9405-BAE9F70B623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504464" y="81642"/>
          <a:ext cx="500629" cy="519333"/>
        </a:xfrm>
        <a:prstGeom prst="rect">
          <a:avLst/>
        </a:prstGeom>
      </xdr:spPr>
    </xdr:pic>
    <xdr:clientData/>
  </xdr:twoCellAnchor>
  <xdr:oneCellAnchor>
    <xdr:from>
      <xdr:col>8</xdr:col>
      <xdr:colOff>476250</xdr:colOff>
      <xdr:row>47</xdr:row>
      <xdr:rowOff>57150</xdr:rowOff>
    </xdr:from>
    <xdr:ext cx="707143" cy="707143"/>
    <xdr:pic>
      <xdr:nvPicPr>
        <xdr:cNvPr id="36" name="InCalf logo">
          <a:extLst>
            <a:ext uri="{FF2B5EF4-FFF2-40B4-BE49-F238E27FC236}">
              <a16:creationId xmlns:a16="http://schemas.microsoft.com/office/drawing/2014/main" id="{B29535DA-EF04-4D6F-ABA6-9BD5762DC7E1}"/>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962650" y="8420100"/>
          <a:ext cx="707143" cy="707143"/>
        </a:xfrm>
        <a:prstGeom prst="rect">
          <a:avLst/>
        </a:prstGeom>
      </xdr:spPr>
    </xdr:pic>
    <xdr:clientData/>
  </xdr:oneCellAnchor>
  <xdr:oneCellAnchor>
    <xdr:from>
      <xdr:col>10</xdr:col>
      <xdr:colOff>180975</xdr:colOff>
      <xdr:row>47</xdr:row>
      <xdr:rowOff>114300</xdr:rowOff>
    </xdr:from>
    <xdr:ext cx="1838323" cy="542925"/>
    <xdr:pic>
      <xdr:nvPicPr>
        <xdr:cNvPr id="38" name="DairyNZ logo (reverse)">
          <a:extLst>
            <a:ext uri="{FF2B5EF4-FFF2-40B4-BE49-F238E27FC236}">
              <a16:creationId xmlns:a16="http://schemas.microsoft.com/office/drawing/2014/main" id="{30B9056B-7CD9-4A0D-8EA7-09DE4E8BB504}"/>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038975" y="7391400"/>
          <a:ext cx="1838323" cy="542925"/>
        </a:xfrm>
        <a:prstGeom prst="rect">
          <a:avLst/>
        </a:prstGeom>
      </xdr:spPr>
    </xdr:pic>
    <xdr:clientData/>
  </xdr:oneCellAnchor>
  <xdr:twoCellAnchor>
    <xdr:from>
      <xdr:col>0</xdr:col>
      <xdr:colOff>0</xdr:colOff>
      <xdr:row>44</xdr:row>
      <xdr:rowOff>0</xdr:rowOff>
    </xdr:from>
    <xdr:to>
      <xdr:col>13</xdr:col>
      <xdr:colOff>9525</xdr:colOff>
      <xdr:row>47</xdr:row>
      <xdr:rowOff>57150</xdr:rowOff>
    </xdr:to>
    <xdr:sp macro="" textlink="">
      <xdr:nvSpPr>
        <xdr:cNvPr id="31" name="TextBox 30">
          <a:extLst>
            <a:ext uri="{FF2B5EF4-FFF2-40B4-BE49-F238E27FC236}">
              <a16:creationId xmlns:a16="http://schemas.microsoft.com/office/drawing/2014/main" id="{B75013FD-9AE4-42E2-A550-D6F348B1B87F}"/>
            </a:ext>
          </a:extLst>
        </xdr:cNvPr>
        <xdr:cNvSpPr txBox="1"/>
      </xdr:nvSpPr>
      <xdr:spPr>
        <a:xfrm>
          <a:off x="0" y="12782550"/>
          <a:ext cx="9096375"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800" b="0" i="1" u="none" strike="noStrike">
              <a:solidFill>
                <a:sysClr val="windowText" lastClr="000000"/>
              </a:solidFill>
              <a:effectLst/>
              <a:latin typeface="+mn-lt"/>
              <a:ea typeface="+mn-ea"/>
              <a:cs typeface="+mn-cs"/>
            </a:rPr>
            <a:t>Disclaimer: DairyNZ ("DairyNZ, "we", "our")</a:t>
          </a:r>
          <a:r>
            <a:rPr lang="en-NZ" sz="800" b="0" i="1" u="none" strike="noStrike" baseline="0">
              <a:solidFill>
                <a:sysClr val="windowText" lastClr="000000"/>
              </a:solidFill>
              <a:effectLst/>
              <a:latin typeface="+mn-lt"/>
              <a:ea typeface="+mn-ea"/>
              <a:cs typeface="+mn-cs"/>
            </a:rPr>
            <a:t> endeavours to ensure that the information in this publication is accurate and current. However, we do not accept liability for any error or omission. The information that appears in this publication is intended to provide the best possible farm management practises, systems and advice that DairyNZ has access to. It may however, be subject to change at any time without notice. DairyNZ takes no responsibility whatsoever for the currency and/or accuracy of this information, its completeness or fitness for purpose.</a:t>
          </a:r>
          <a:endParaRPr lang="en-NZ" sz="800" i="1">
            <a:solidFill>
              <a:sysClr val="windowText" lastClr="000000"/>
            </a:solidFill>
          </a:endParaRPr>
        </a:p>
      </xdr:txBody>
    </xdr:sp>
    <xdr:clientData/>
  </xdr:twoCellAnchor>
  <xdr:twoCellAnchor>
    <xdr:from>
      <xdr:col>0</xdr:col>
      <xdr:colOff>114300</xdr:colOff>
      <xdr:row>47</xdr:row>
      <xdr:rowOff>95250</xdr:rowOff>
    </xdr:from>
    <xdr:to>
      <xdr:col>6</xdr:col>
      <xdr:colOff>206375</xdr:colOff>
      <xdr:row>50</xdr:row>
      <xdr:rowOff>127000</xdr:rowOff>
    </xdr:to>
    <xdr:sp macro="" textlink="">
      <xdr:nvSpPr>
        <xdr:cNvPr id="32" name="TextBox 31">
          <a:extLst>
            <a:ext uri="{FF2B5EF4-FFF2-40B4-BE49-F238E27FC236}">
              <a16:creationId xmlns:a16="http://schemas.microsoft.com/office/drawing/2014/main" id="{34F1E4DC-00CF-45AD-B171-455E2882601A}"/>
            </a:ext>
          </a:extLst>
        </xdr:cNvPr>
        <xdr:cNvSpPr txBox="1"/>
      </xdr:nvSpPr>
      <xdr:spPr>
        <a:xfrm>
          <a:off x="114300" y="13525500"/>
          <a:ext cx="4206875" cy="574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900" b="0" i="0" u="none" strike="noStrike">
              <a:solidFill>
                <a:schemeClr val="bg1"/>
              </a:solidFill>
              <a:effectLst/>
              <a:latin typeface="+mn-lt"/>
              <a:ea typeface="+mn-ea"/>
              <a:cs typeface="+mn-cs"/>
            </a:rPr>
            <a:t>This work has been funded by the NZ dairy industry through the DairyNZ levy.</a:t>
          </a:r>
          <a:r>
            <a:rPr lang="en-NZ" sz="900">
              <a:solidFill>
                <a:schemeClr val="bg1"/>
              </a:solidFill>
            </a:rPr>
            <a:t> </a:t>
          </a:r>
        </a:p>
        <a:p>
          <a:endParaRPr lang="en-NZ" sz="200" b="0" i="0" u="none" strike="noStrike">
            <a:solidFill>
              <a:schemeClr val="bg1"/>
            </a:solidFill>
            <a:effectLst/>
            <a:latin typeface="+mn-lt"/>
            <a:ea typeface="+mn-ea"/>
            <a:cs typeface="+mn-cs"/>
          </a:endParaRPr>
        </a:p>
        <a:p>
          <a:r>
            <a:rPr lang="en-NZ" sz="900" b="0" i="0" u="none" strike="noStrike">
              <a:solidFill>
                <a:schemeClr val="bg1"/>
              </a:solidFill>
              <a:effectLst/>
              <a:latin typeface="+mn-lt"/>
              <a:ea typeface="+mn-ea"/>
              <a:cs typeface="+mn-cs"/>
            </a:rPr>
            <a:t>InCalf has been adapted for NZ farming systems from the original programme developed by Dairy Australia.</a:t>
          </a:r>
          <a:r>
            <a:rPr lang="en-NZ" sz="900">
              <a:solidFill>
                <a:schemeClr val="bg1"/>
              </a:solidFill>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76200</xdr:colOff>
      <xdr:row>47</xdr:row>
      <xdr:rowOff>9525</xdr:rowOff>
    </xdr:from>
    <xdr:to>
      <xdr:col>3</xdr:col>
      <xdr:colOff>1444623</xdr:colOff>
      <xdr:row>51</xdr:row>
      <xdr:rowOff>0</xdr:rowOff>
    </xdr:to>
    <xdr:grpSp>
      <xdr:nvGrpSpPr>
        <xdr:cNvPr id="4" name="Group 3">
          <a:extLst>
            <a:ext uri="{FF2B5EF4-FFF2-40B4-BE49-F238E27FC236}">
              <a16:creationId xmlns:a16="http://schemas.microsoft.com/office/drawing/2014/main" id="{47C2F937-376B-4104-9374-F67193E0F039}"/>
            </a:ext>
          </a:extLst>
        </xdr:cNvPr>
        <xdr:cNvGrpSpPr/>
      </xdr:nvGrpSpPr>
      <xdr:grpSpPr>
        <a:xfrm>
          <a:off x="5334000" y="10922000"/>
          <a:ext cx="2946398" cy="717550"/>
          <a:chOff x="4629150" y="9553575"/>
          <a:chExt cx="2914648" cy="707143"/>
        </a:xfrm>
      </xdr:grpSpPr>
      <xdr:pic>
        <xdr:nvPicPr>
          <xdr:cNvPr id="5" name="InCalf logo">
            <a:extLst>
              <a:ext uri="{FF2B5EF4-FFF2-40B4-BE49-F238E27FC236}">
                <a16:creationId xmlns:a16="http://schemas.microsoft.com/office/drawing/2014/main" id="{7B643591-26D5-4BAA-BD44-5FED2953C4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9150" y="9553575"/>
            <a:ext cx="707143" cy="707143"/>
          </a:xfrm>
          <a:prstGeom prst="rect">
            <a:avLst/>
          </a:prstGeom>
        </xdr:spPr>
      </xdr:pic>
      <xdr:pic>
        <xdr:nvPicPr>
          <xdr:cNvPr id="6" name="DairyNZ logo (reverse)">
            <a:extLst>
              <a:ext uri="{FF2B5EF4-FFF2-40B4-BE49-F238E27FC236}">
                <a16:creationId xmlns:a16="http://schemas.microsoft.com/office/drawing/2014/main" id="{D9283758-C87E-4552-B045-499FDA46D3A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05475" y="9610725"/>
            <a:ext cx="1838323" cy="542925"/>
          </a:xfrm>
          <a:prstGeom prst="rect">
            <a:avLst/>
          </a:prstGeom>
        </xdr:spPr>
      </xdr:pic>
    </xdr:grpSp>
    <xdr:clientData/>
  </xdr:twoCellAnchor>
  <xdr:twoCellAnchor editAs="oneCell">
    <xdr:from>
      <xdr:col>3</xdr:col>
      <xdr:colOff>1000125</xdr:colOff>
      <xdr:row>0</xdr:row>
      <xdr:rowOff>114300</xdr:rowOff>
    </xdr:from>
    <xdr:to>
      <xdr:col>3</xdr:col>
      <xdr:colOff>1497579</xdr:colOff>
      <xdr:row>0</xdr:row>
      <xdr:rowOff>636808</xdr:rowOff>
    </xdr:to>
    <xdr:pic>
      <xdr:nvPicPr>
        <xdr:cNvPr id="7" name="Picture 6">
          <a:extLst>
            <a:ext uri="{FF2B5EF4-FFF2-40B4-BE49-F238E27FC236}">
              <a16:creationId xmlns:a16="http://schemas.microsoft.com/office/drawing/2014/main" id="{E5B1C87E-55CA-4CDC-A182-83CB7EABEDE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39075" y="114300"/>
          <a:ext cx="500629" cy="519333"/>
        </a:xfrm>
        <a:prstGeom prst="rect">
          <a:avLst/>
        </a:prstGeom>
      </xdr:spPr>
    </xdr:pic>
    <xdr:clientData/>
  </xdr:twoCellAnchor>
  <xdr:twoCellAnchor>
    <xdr:from>
      <xdr:col>0</xdr:col>
      <xdr:colOff>0</xdr:colOff>
      <xdr:row>43</xdr:row>
      <xdr:rowOff>76199</xdr:rowOff>
    </xdr:from>
    <xdr:to>
      <xdr:col>4</xdr:col>
      <xdr:colOff>0</xdr:colOff>
      <xdr:row>46</xdr:row>
      <xdr:rowOff>152399</xdr:rowOff>
    </xdr:to>
    <xdr:sp macro="" textlink="">
      <xdr:nvSpPr>
        <xdr:cNvPr id="9" name="TextBox 8">
          <a:extLst>
            <a:ext uri="{FF2B5EF4-FFF2-40B4-BE49-F238E27FC236}">
              <a16:creationId xmlns:a16="http://schemas.microsoft.com/office/drawing/2014/main" id="{881C41F0-E80B-4395-9D73-DBD48573F628}"/>
            </a:ext>
          </a:extLst>
        </xdr:cNvPr>
        <xdr:cNvSpPr txBox="1"/>
      </xdr:nvSpPr>
      <xdr:spPr>
        <a:xfrm>
          <a:off x="0" y="10029824"/>
          <a:ext cx="8420100"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800" b="0" i="1" u="none" strike="noStrike">
              <a:solidFill>
                <a:sysClr val="windowText" lastClr="000000"/>
              </a:solidFill>
              <a:effectLst/>
              <a:latin typeface="+mn-lt"/>
              <a:ea typeface="+mn-ea"/>
              <a:cs typeface="+mn-cs"/>
            </a:rPr>
            <a:t>Disclaimer: DairyNZ ("DairyNZ, "we", "our")</a:t>
          </a:r>
          <a:r>
            <a:rPr lang="en-NZ" sz="800" b="0" i="1" u="none" strike="noStrike" baseline="0">
              <a:solidFill>
                <a:sysClr val="windowText" lastClr="000000"/>
              </a:solidFill>
              <a:effectLst/>
              <a:latin typeface="+mn-lt"/>
              <a:ea typeface="+mn-ea"/>
              <a:cs typeface="+mn-cs"/>
            </a:rPr>
            <a:t> endeavours to ensure that the information in this publication is accurate and current. However, we do not accept liability for any error or omission. The information that appears in this publication is intended to provide the best possible farm management practises, systems and advice that DairyNZ has access to. It may however, be subject to change at any time without notice. DairyNZ takes no responsibility whatsoever for the currency and/or accuracy of this information, its completeness or fitness for purpose.</a:t>
          </a:r>
          <a:endParaRPr lang="en-NZ" sz="800" i="1">
            <a:solidFill>
              <a:sysClr val="windowText" lastClr="000000"/>
            </a:solidFill>
          </a:endParaRPr>
        </a:p>
      </xdr:txBody>
    </xdr:sp>
    <xdr:clientData/>
  </xdr:twoCellAnchor>
  <xdr:twoCellAnchor>
    <xdr:from>
      <xdr:col>0</xdr:col>
      <xdr:colOff>38100</xdr:colOff>
      <xdr:row>47</xdr:row>
      <xdr:rowOff>76200</xdr:rowOff>
    </xdr:from>
    <xdr:to>
      <xdr:col>1</xdr:col>
      <xdr:colOff>568325</xdr:colOff>
      <xdr:row>50</xdr:row>
      <xdr:rowOff>107950</xdr:rowOff>
    </xdr:to>
    <xdr:sp macro="" textlink="">
      <xdr:nvSpPr>
        <xdr:cNvPr id="10" name="TextBox 9">
          <a:extLst>
            <a:ext uri="{FF2B5EF4-FFF2-40B4-BE49-F238E27FC236}">
              <a16:creationId xmlns:a16="http://schemas.microsoft.com/office/drawing/2014/main" id="{34ED1F56-5465-4E5F-B7F0-4702BCC6A88D}"/>
            </a:ext>
          </a:extLst>
        </xdr:cNvPr>
        <xdr:cNvSpPr txBox="1"/>
      </xdr:nvSpPr>
      <xdr:spPr>
        <a:xfrm>
          <a:off x="38100" y="14906625"/>
          <a:ext cx="4206875" cy="574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900" b="0" i="0" u="none" strike="noStrike">
              <a:solidFill>
                <a:schemeClr val="bg1"/>
              </a:solidFill>
              <a:effectLst/>
              <a:latin typeface="+mn-lt"/>
              <a:ea typeface="+mn-ea"/>
              <a:cs typeface="+mn-cs"/>
            </a:rPr>
            <a:t>This work has been funded by the NZ dairy industry through the DairyNZ levy.</a:t>
          </a:r>
          <a:r>
            <a:rPr lang="en-NZ" sz="900">
              <a:solidFill>
                <a:schemeClr val="bg1"/>
              </a:solidFill>
            </a:rPr>
            <a:t> </a:t>
          </a:r>
        </a:p>
        <a:p>
          <a:endParaRPr lang="en-NZ" sz="200" b="0" i="0" u="none" strike="noStrike">
            <a:solidFill>
              <a:schemeClr val="bg1"/>
            </a:solidFill>
            <a:effectLst/>
            <a:latin typeface="+mn-lt"/>
            <a:ea typeface="+mn-ea"/>
            <a:cs typeface="+mn-cs"/>
          </a:endParaRPr>
        </a:p>
        <a:p>
          <a:r>
            <a:rPr lang="en-NZ" sz="900" b="0" i="0" u="none" strike="noStrike">
              <a:solidFill>
                <a:schemeClr val="bg1"/>
              </a:solidFill>
              <a:effectLst/>
              <a:latin typeface="+mn-lt"/>
              <a:ea typeface="+mn-ea"/>
              <a:cs typeface="+mn-cs"/>
            </a:rPr>
            <a:t>InCalf has been adapted for NZ farming systems from the original programme developed by Dairy Australia.</a:t>
          </a:r>
          <a:r>
            <a:rPr lang="en-NZ" sz="900">
              <a:solidFill>
                <a:schemeClr val="bg1"/>
              </a:solidFill>
            </a:rPr>
            <a:t>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1209675</xdr:colOff>
      <xdr:row>49</xdr:row>
      <xdr:rowOff>47625</xdr:rowOff>
    </xdr:from>
    <xdr:to>
      <xdr:col>3</xdr:col>
      <xdr:colOff>1816098</xdr:colOff>
      <xdr:row>53</xdr:row>
      <xdr:rowOff>0</xdr:rowOff>
    </xdr:to>
    <xdr:grpSp>
      <xdr:nvGrpSpPr>
        <xdr:cNvPr id="4" name="Group 3">
          <a:extLst>
            <a:ext uri="{FF2B5EF4-FFF2-40B4-BE49-F238E27FC236}">
              <a16:creationId xmlns:a16="http://schemas.microsoft.com/office/drawing/2014/main" id="{246A3CB7-7737-4393-9938-F2DE862B65CA}"/>
            </a:ext>
          </a:extLst>
        </xdr:cNvPr>
        <xdr:cNvGrpSpPr/>
      </xdr:nvGrpSpPr>
      <xdr:grpSpPr>
        <a:xfrm>
          <a:off x="7026275" y="14912975"/>
          <a:ext cx="2679698" cy="679450"/>
          <a:chOff x="4629150" y="9553575"/>
          <a:chExt cx="2914648" cy="707143"/>
        </a:xfrm>
      </xdr:grpSpPr>
      <xdr:pic>
        <xdr:nvPicPr>
          <xdr:cNvPr id="5" name="InCalf logo">
            <a:extLst>
              <a:ext uri="{FF2B5EF4-FFF2-40B4-BE49-F238E27FC236}">
                <a16:creationId xmlns:a16="http://schemas.microsoft.com/office/drawing/2014/main" id="{A96FF290-3BD5-4CBB-A3D3-592221A6EF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9150" y="9553575"/>
            <a:ext cx="707143" cy="707143"/>
          </a:xfrm>
          <a:prstGeom prst="rect">
            <a:avLst/>
          </a:prstGeom>
        </xdr:spPr>
      </xdr:pic>
      <xdr:pic>
        <xdr:nvPicPr>
          <xdr:cNvPr id="6" name="DairyNZ logo (reverse)">
            <a:extLst>
              <a:ext uri="{FF2B5EF4-FFF2-40B4-BE49-F238E27FC236}">
                <a16:creationId xmlns:a16="http://schemas.microsoft.com/office/drawing/2014/main" id="{85341729-31BD-4C9F-AA4C-FFCADB6F44A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05475" y="9610725"/>
            <a:ext cx="1838323" cy="542925"/>
          </a:xfrm>
          <a:prstGeom prst="rect">
            <a:avLst/>
          </a:prstGeom>
        </xdr:spPr>
      </xdr:pic>
    </xdr:grpSp>
    <xdr:clientData/>
  </xdr:twoCellAnchor>
  <xdr:twoCellAnchor editAs="oneCell">
    <xdr:from>
      <xdr:col>3</xdr:col>
      <xdr:colOff>1352550</xdr:colOff>
      <xdr:row>0</xdr:row>
      <xdr:rowOff>76200</xdr:rowOff>
    </xdr:from>
    <xdr:to>
      <xdr:col>3</xdr:col>
      <xdr:colOff>1856354</xdr:colOff>
      <xdr:row>0</xdr:row>
      <xdr:rowOff>598708</xdr:rowOff>
    </xdr:to>
    <xdr:pic>
      <xdr:nvPicPr>
        <xdr:cNvPr id="7" name="Picture 6">
          <a:extLst>
            <a:ext uri="{FF2B5EF4-FFF2-40B4-BE49-F238E27FC236}">
              <a16:creationId xmlns:a16="http://schemas.microsoft.com/office/drawing/2014/main" id="{2536320B-334B-4B20-86D0-833680F7488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239250" y="76200"/>
          <a:ext cx="500629" cy="519333"/>
        </a:xfrm>
        <a:prstGeom prst="rect">
          <a:avLst/>
        </a:prstGeom>
      </xdr:spPr>
    </xdr:pic>
    <xdr:clientData/>
  </xdr:twoCellAnchor>
  <xdr:twoCellAnchor>
    <xdr:from>
      <xdr:col>0</xdr:col>
      <xdr:colOff>0</xdr:colOff>
      <xdr:row>47</xdr:row>
      <xdr:rowOff>0</xdr:rowOff>
    </xdr:from>
    <xdr:to>
      <xdr:col>4</xdr:col>
      <xdr:colOff>9525</xdr:colOff>
      <xdr:row>49</xdr:row>
      <xdr:rowOff>57150</xdr:rowOff>
    </xdr:to>
    <xdr:sp macro="" textlink="">
      <xdr:nvSpPr>
        <xdr:cNvPr id="9" name="TextBox 8">
          <a:extLst>
            <a:ext uri="{FF2B5EF4-FFF2-40B4-BE49-F238E27FC236}">
              <a16:creationId xmlns:a16="http://schemas.microsoft.com/office/drawing/2014/main" id="{C371F2C5-F019-41CE-9047-1A659D78FD60}"/>
            </a:ext>
          </a:extLst>
        </xdr:cNvPr>
        <xdr:cNvSpPr txBox="1"/>
      </xdr:nvSpPr>
      <xdr:spPr>
        <a:xfrm>
          <a:off x="0" y="14001750"/>
          <a:ext cx="9963150"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800" b="0" i="1" u="none" strike="noStrike">
              <a:solidFill>
                <a:sysClr val="windowText" lastClr="000000"/>
              </a:solidFill>
              <a:effectLst/>
              <a:latin typeface="+mn-lt"/>
              <a:ea typeface="+mn-ea"/>
              <a:cs typeface="+mn-cs"/>
            </a:rPr>
            <a:t>Disclaimer: DairyNZ ("DairyNZ, "we", "our")</a:t>
          </a:r>
          <a:r>
            <a:rPr lang="en-NZ" sz="800" b="0" i="1" u="none" strike="noStrike" baseline="0">
              <a:solidFill>
                <a:sysClr val="windowText" lastClr="000000"/>
              </a:solidFill>
              <a:effectLst/>
              <a:latin typeface="+mn-lt"/>
              <a:ea typeface="+mn-ea"/>
              <a:cs typeface="+mn-cs"/>
            </a:rPr>
            <a:t> endeavours to ensure that the information in this publication is accurate and current. However, we do not accept liability for any error or omission. The information that appears in this publication is intended to provide the best possible farm management practises, systems and advice that DairyNZ has access to. It may however, be subject to change at any time without notice. DairyNZ takes no responsibility whatsoever for the currency and/or accuracy of this information, its completeness or fitness for purpose.</a:t>
          </a:r>
          <a:endParaRPr lang="en-NZ" sz="800" i="1">
            <a:solidFill>
              <a:sysClr val="windowText" lastClr="000000"/>
            </a:solidFill>
          </a:endParaRPr>
        </a:p>
      </xdr:txBody>
    </xdr:sp>
    <xdr:clientData/>
  </xdr:twoCellAnchor>
  <xdr:twoCellAnchor>
    <xdr:from>
      <xdr:col>0</xdr:col>
      <xdr:colOff>38100</xdr:colOff>
      <xdr:row>49</xdr:row>
      <xdr:rowOff>76200</xdr:rowOff>
    </xdr:from>
    <xdr:to>
      <xdr:col>1</xdr:col>
      <xdr:colOff>492125</xdr:colOff>
      <xdr:row>52</xdr:row>
      <xdr:rowOff>107950</xdr:rowOff>
    </xdr:to>
    <xdr:sp macro="" textlink="">
      <xdr:nvSpPr>
        <xdr:cNvPr id="10" name="TextBox 9">
          <a:extLst>
            <a:ext uri="{FF2B5EF4-FFF2-40B4-BE49-F238E27FC236}">
              <a16:creationId xmlns:a16="http://schemas.microsoft.com/office/drawing/2014/main" id="{568F4E59-F2AA-4A60-A024-0BF8FBF1079E}"/>
            </a:ext>
          </a:extLst>
        </xdr:cNvPr>
        <xdr:cNvSpPr txBox="1"/>
      </xdr:nvSpPr>
      <xdr:spPr>
        <a:xfrm>
          <a:off x="38100" y="14573250"/>
          <a:ext cx="4206875" cy="574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900" b="0" i="0" u="none" strike="noStrike">
              <a:solidFill>
                <a:schemeClr val="bg1"/>
              </a:solidFill>
              <a:effectLst/>
              <a:latin typeface="+mn-lt"/>
              <a:ea typeface="+mn-ea"/>
              <a:cs typeface="+mn-cs"/>
            </a:rPr>
            <a:t>This work has been funded by the NZ dairy industry through the DairyNZ levy.</a:t>
          </a:r>
          <a:r>
            <a:rPr lang="en-NZ" sz="900">
              <a:solidFill>
                <a:schemeClr val="bg1"/>
              </a:solidFill>
            </a:rPr>
            <a:t> </a:t>
          </a:r>
        </a:p>
        <a:p>
          <a:endParaRPr lang="en-NZ" sz="200" b="0" i="0" u="none" strike="noStrike">
            <a:solidFill>
              <a:schemeClr val="bg1"/>
            </a:solidFill>
            <a:effectLst/>
            <a:latin typeface="+mn-lt"/>
            <a:ea typeface="+mn-ea"/>
            <a:cs typeface="+mn-cs"/>
          </a:endParaRPr>
        </a:p>
        <a:p>
          <a:r>
            <a:rPr lang="en-NZ" sz="900" b="0" i="0" u="none" strike="noStrike">
              <a:solidFill>
                <a:schemeClr val="bg1"/>
              </a:solidFill>
              <a:effectLst/>
              <a:latin typeface="+mn-lt"/>
              <a:ea typeface="+mn-ea"/>
              <a:cs typeface="+mn-cs"/>
            </a:rPr>
            <a:t>InCalf has been adapted for NZ farming systems from the original programme developed by Dairy Australia.</a:t>
          </a:r>
          <a:r>
            <a:rPr lang="en-NZ" sz="900">
              <a:solidFill>
                <a:schemeClr val="bg1"/>
              </a:solidFill>
            </a:rPr>
            <a:t>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2447925</xdr:colOff>
      <xdr:row>24</xdr:row>
      <xdr:rowOff>107949</xdr:rowOff>
    </xdr:from>
    <xdr:to>
      <xdr:col>1</xdr:col>
      <xdr:colOff>4746623</xdr:colOff>
      <xdr:row>27</xdr:row>
      <xdr:rowOff>145167</xdr:rowOff>
    </xdr:to>
    <xdr:grpSp>
      <xdr:nvGrpSpPr>
        <xdr:cNvPr id="4" name="Group 3">
          <a:extLst>
            <a:ext uri="{FF2B5EF4-FFF2-40B4-BE49-F238E27FC236}">
              <a16:creationId xmlns:a16="http://schemas.microsoft.com/office/drawing/2014/main" id="{6777C1DA-D215-4186-9E93-DB6AE2A4964B}"/>
            </a:ext>
          </a:extLst>
        </xdr:cNvPr>
        <xdr:cNvGrpSpPr/>
      </xdr:nvGrpSpPr>
      <xdr:grpSpPr>
        <a:xfrm>
          <a:off x="4454525" y="9632949"/>
          <a:ext cx="2298698" cy="570618"/>
          <a:chOff x="4629150" y="9553575"/>
          <a:chExt cx="2914648" cy="707143"/>
        </a:xfrm>
      </xdr:grpSpPr>
      <xdr:pic>
        <xdr:nvPicPr>
          <xdr:cNvPr id="5" name="InCalf logo">
            <a:extLst>
              <a:ext uri="{FF2B5EF4-FFF2-40B4-BE49-F238E27FC236}">
                <a16:creationId xmlns:a16="http://schemas.microsoft.com/office/drawing/2014/main" id="{326180CC-D94C-4214-94F8-E419D1DA2F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9150" y="9553575"/>
            <a:ext cx="707143" cy="707143"/>
          </a:xfrm>
          <a:prstGeom prst="rect">
            <a:avLst/>
          </a:prstGeom>
        </xdr:spPr>
      </xdr:pic>
      <xdr:pic>
        <xdr:nvPicPr>
          <xdr:cNvPr id="6" name="DairyNZ logo (reverse)">
            <a:extLst>
              <a:ext uri="{FF2B5EF4-FFF2-40B4-BE49-F238E27FC236}">
                <a16:creationId xmlns:a16="http://schemas.microsoft.com/office/drawing/2014/main" id="{5F4751A1-25BF-4BDA-BC8D-64CFAFD917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05475" y="9610725"/>
            <a:ext cx="1838323" cy="542925"/>
          </a:xfrm>
          <a:prstGeom prst="rect">
            <a:avLst/>
          </a:prstGeom>
        </xdr:spPr>
      </xdr:pic>
    </xdr:grpSp>
    <xdr:clientData/>
  </xdr:twoCellAnchor>
  <xdr:twoCellAnchor>
    <xdr:from>
      <xdr:col>0</xdr:col>
      <xdr:colOff>0</xdr:colOff>
      <xdr:row>20</xdr:row>
      <xdr:rowOff>0</xdr:rowOff>
    </xdr:from>
    <xdr:to>
      <xdr:col>2</xdr:col>
      <xdr:colOff>38100</xdr:colOff>
      <xdr:row>23</xdr:row>
      <xdr:rowOff>171450</xdr:rowOff>
    </xdr:to>
    <xdr:sp macro="" textlink="">
      <xdr:nvSpPr>
        <xdr:cNvPr id="9" name="TextBox 8">
          <a:extLst>
            <a:ext uri="{FF2B5EF4-FFF2-40B4-BE49-F238E27FC236}">
              <a16:creationId xmlns:a16="http://schemas.microsoft.com/office/drawing/2014/main" id="{F47893E2-1868-491E-ABFA-C63D1FB78E5B}"/>
            </a:ext>
          </a:extLst>
        </xdr:cNvPr>
        <xdr:cNvSpPr txBox="1"/>
      </xdr:nvSpPr>
      <xdr:spPr>
        <a:xfrm>
          <a:off x="0" y="9286875"/>
          <a:ext cx="656272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800" b="0" i="1" u="none" strike="noStrike">
              <a:solidFill>
                <a:sysClr val="windowText" lastClr="000000"/>
              </a:solidFill>
              <a:effectLst/>
              <a:latin typeface="+mn-lt"/>
              <a:ea typeface="+mn-ea"/>
              <a:cs typeface="+mn-cs"/>
            </a:rPr>
            <a:t>Disclaimer: DairyNZ ("DairyNZ, "we", "our")</a:t>
          </a:r>
          <a:r>
            <a:rPr lang="en-NZ" sz="800" b="0" i="1" u="none" strike="noStrike" baseline="0">
              <a:solidFill>
                <a:sysClr val="windowText" lastClr="000000"/>
              </a:solidFill>
              <a:effectLst/>
              <a:latin typeface="+mn-lt"/>
              <a:ea typeface="+mn-ea"/>
              <a:cs typeface="+mn-cs"/>
            </a:rPr>
            <a:t> endeavours to ensure that the information in this publication is accurate and current. However, we do not accept liability for any error or omission. The information that appears in this publication is intended to provide the best possible farm management practises, systems and advice that DairyNZ has access to. It may however, be subject to change at any time without notice. DairyNZ takes no responsibility whatsoever for the currency and/or accuracy of this information, its completeness or fitness for purpose.</a:t>
          </a:r>
          <a:endParaRPr lang="en-NZ" sz="800" i="1">
            <a:solidFill>
              <a:sysClr val="windowText" lastClr="000000"/>
            </a:solidFill>
          </a:endParaRPr>
        </a:p>
      </xdr:txBody>
    </xdr:sp>
    <xdr:clientData/>
  </xdr:twoCellAnchor>
  <xdr:twoCellAnchor>
    <xdr:from>
      <xdr:col>0</xdr:col>
      <xdr:colOff>1</xdr:colOff>
      <xdr:row>24</xdr:row>
      <xdr:rowOff>0</xdr:rowOff>
    </xdr:from>
    <xdr:to>
      <xdr:col>1</xdr:col>
      <xdr:colOff>2505075</xdr:colOff>
      <xdr:row>27</xdr:row>
      <xdr:rowOff>152400</xdr:rowOff>
    </xdr:to>
    <xdr:sp macro="" textlink="">
      <xdr:nvSpPr>
        <xdr:cNvPr id="10" name="TextBox 9">
          <a:extLst>
            <a:ext uri="{FF2B5EF4-FFF2-40B4-BE49-F238E27FC236}">
              <a16:creationId xmlns:a16="http://schemas.microsoft.com/office/drawing/2014/main" id="{8B8D5497-B64F-4248-8EA2-78BD7BA7647E}"/>
            </a:ext>
          </a:extLst>
        </xdr:cNvPr>
        <xdr:cNvSpPr txBox="1"/>
      </xdr:nvSpPr>
      <xdr:spPr>
        <a:xfrm>
          <a:off x="1" y="9906000"/>
          <a:ext cx="4162424"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900" b="0" i="0" u="none" strike="noStrike">
              <a:solidFill>
                <a:schemeClr val="bg1"/>
              </a:solidFill>
              <a:effectLst/>
              <a:latin typeface="+mn-lt"/>
              <a:ea typeface="+mn-ea"/>
              <a:cs typeface="+mn-cs"/>
            </a:rPr>
            <a:t>This work has been funded by the NZ dairy industry through the DairyNZ levy.</a:t>
          </a:r>
          <a:r>
            <a:rPr lang="en-NZ" sz="900">
              <a:solidFill>
                <a:schemeClr val="bg1"/>
              </a:solidFill>
            </a:rPr>
            <a:t> </a:t>
          </a:r>
        </a:p>
        <a:p>
          <a:endParaRPr lang="en-NZ" sz="200" b="0" i="0" u="none" strike="noStrike">
            <a:solidFill>
              <a:schemeClr val="bg1"/>
            </a:solidFill>
            <a:effectLst/>
            <a:latin typeface="+mn-lt"/>
            <a:ea typeface="+mn-ea"/>
            <a:cs typeface="+mn-cs"/>
          </a:endParaRPr>
        </a:p>
        <a:p>
          <a:r>
            <a:rPr lang="en-NZ" sz="900" b="0" i="0" u="none" strike="noStrike">
              <a:solidFill>
                <a:schemeClr val="bg1"/>
              </a:solidFill>
              <a:effectLst/>
              <a:latin typeface="+mn-lt"/>
              <a:ea typeface="+mn-ea"/>
              <a:cs typeface="+mn-cs"/>
            </a:rPr>
            <a:t>InCalf has been adapted for NZ farming systems from the original programme developed by Dairy Australia.</a:t>
          </a:r>
          <a:r>
            <a:rPr lang="en-NZ" sz="900">
              <a:solidFill>
                <a:schemeClr val="bg1"/>
              </a:solidFill>
            </a:rPr>
            <a:t> </a:t>
          </a:r>
        </a:p>
      </xdr:txBody>
    </xdr:sp>
    <xdr:clientData/>
  </xdr:twoCellAnchor>
  <xdr:twoCellAnchor editAs="oneCell">
    <xdr:from>
      <xdr:col>1</xdr:col>
      <xdr:colOff>4238625</xdr:colOff>
      <xdr:row>0</xdr:row>
      <xdr:rowOff>133350</xdr:rowOff>
    </xdr:from>
    <xdr:to>
      <xdr:col>1</xdr:col>
      <xdr:colOff>4732904</xdr:colOff>
      <xdr:row>0</xdr:row>
      <xdr:rowOff>659033</xdr:rowOff>
    </xdr:to>
    <xdr:pic>
      <xdr:nvPicPr>
        <xdr:cNvPr id="11" name="Picture 10">
          <a:extLst>
            <a:ext uri="{FF2B5EF4-FFF2-40B4-BE49-F238E27FC236}">
              <a16:creationId xmlns:a16="http://schemas.microsoft.com/office/drawing/2014/main" id="{E00F2057-34F5-4F6B-9E50-4EC7F89E58F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95975" y="133350"/>
          <a:ext cx="500629" cy="519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4629150</xdr:colOff>
      <xdr:row>20</xdr:row>
      <xdr:rowOff>66675</xdr:rowOff>
    </xdr:from>
    <xdr:to>
      <xdr:col>1</xdr:col>
      <xdr:colOff>152398</xdr:colOff>
      <xdr:row>24</xdr:row>
      <xdr:rowOff>49918</xdr:rowOff>
    </xdr:to>
    <xdr:grpSp>
      <xdr:nvGrpSpPr>
        <xdr:cNvPr id="2" name="Group 1">
          <a:extLst>
            <a:ext uri="{FF2B5EF4-FFF2-40B4-BE49-F238E27FC236}">
              <a16:creationId xmlns:a16="http://schemas.microsoft.com/office/drawing/2014/main" id="{2378D838-FC8C-40BD-A7EC-B69B1DEB315D}"/>
            </a:ext>
          </a:extLst>
        </xdr:cNvPr>
        <xdr:cNvGrpSpPr/>
      </xdr:nvGrpSpPr>
      <xdr:grpSpPr>
        <a:xfrm>
          <a:off x="4629150" y="10988675"/>
          <a:ext cx="2914648" cy="660400"/>
          <a:chOff x="4629150" y="9553575"/>
          <a:chExt cx="2914648" cy="707143"/>
        </a:xfrm>
      </xdr:grpSpPr>
      <xdr:pic>
        <xdr:nvPicPr>
          <xdr:cNvPr id="6" name="InCalf logo">
            <a:extLst>
              <a:ext uri="{FF2B5EF4-FFF2-40B4-BE49-F238E27FC236}">
                <a16:creationId xmlns:a16="http://schemas.microsoft.com/office/drawing/2014/main" id="{2FF0CA68-49A1-4877-90FB-239E8FBEFF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9150" y="9553575"/>
            <a:ext cx="707143" cy="707143"/>
          </a:xfrm>
          <a:prstGeom prst="rect">
            <a:avLst/>
          </a:prstGeom>
        </xdr:spPr>
      </xdr:pic>
      <xdr:pic>
        <xdr:nvPicPr>
          <xdr:cNvPr id="7" name="DairyNZ logo (reverse)">
            <a:extLst>
              <a:ext uri="{FF2B5EF4-FFF2-40B4-BE49-F238E27FC236}">
                <a16:creationId xmlns:a16="http://schemas.microsoft.com/office/drawing/2014/main" id="{586937A4-6B08-4395-962C-5CEFBF69BE2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05475" y="9610725"/>
            <a:ext cx="1838323" cy="542925"/>
          </a:xfrm>
          <a:prstGeom prst="rect">
            <a:avLst/>
          </a:prstGeom>
        </xdr:spPr>
      </xdr:pic>
    </xdr:grpSp>
    <xdr:clientData/>
  </xdr:twoCellAnchor>
  <xdr:twoCellAnchor>
    <xdr:from>
      <xdr:col>0</xdr:col>
      <xdr:colOff>203200</xdr:colOff>
      <xdr:row>20</xdr:row>
      <xdr:rowOff>95250</xdr:rowOff>
    </xdr:from>
    <xdr:to>
      <xdr:col>0</xdr:col>
      <xdr:colOff>4410075</xdr:colOff>
      <xdr:row>23</xdr:row>
      <xdr:rowOff>127000</xdr:rowOff>
    </xdr:to>
    <xdr:sp macro="" textlink="">
      <xdr:nvSpPr>
        <xdr:cNvPr id="8" name="TextBox 7">
          <a:extLst>
            <a:ext uri="{FF2B5EF4-FFF2-40B4-BE49-F238E27FC236}">
              <a16:creationId xmlns:a16="http://schemas.microsoft.com/office/drawing/2014/main" id="{00FEC89F-F56E-40B5-BA4D-42A1508C3C60}"/>
            </a:ext>
          </a:extLst>
        </xdr:cNvPr>
        <xdr:cNvSpPr txBox="1"/>
      </xdr:nvSpPr>
      <xdr:spPr>
        <a:xfrm>
          <a:off x="203200" y="9772650"/>
          <a:ext cx="4206875" cy="574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900" b="0" i="0" u="none" strike="noStrike">
              <a:solidFill>
                <a:schemeClr val="bg1"/>
              </a:solidFill>
              <a:effectLst/>
              <a:latin typeface="+mn-lt"/>
              <a:ea typeface="+mn-ea"/>
              <a:cs typeface="+mn-cs"/>
            </a:rPr>
            <a:t>This work has been funded by the NZ dairy industry through the DairyNZ levy.</a:t>
          </a:r>
          <a:r>
            <a:rPr lang="en-NZ" sz="900">
              <a:solidFill>
                <a:schemeClr val="bg1"/>
              </a:solidFill>
            </a:rPr>
            <a:t> </a:t>
          </a:r>
        </a:p>
        <a:p>
          <a:endParaRPr lang="en-NZ" sz="200" b="0" i="0" u="none" strike="noStrike">
            <a:solidFill>
              <a:schemeClr val="bg1"/>
            </a:solidFill>
            <a:effectLst/>
            <a:latin typeface="+mn-lt"/>
            <a:ea typeface="+mn-ea"/>
            <a:cs typeface="+mn-cs"/>
          </a:endParaRPr>
        </a:p>
        <a:p>
          <a:r>
            <a:rPr lang="en-NZ" sz="900" b="0" i="0" u="none" strike="noStrike">
              <a:solidFill>
                <a:schemeClr val="bg1"/>
              </a:solidFill>
              <a:effectLst/>
              <a:latin typeface="+mn-lt"/>
              <a:ea typeface="+mn-ea"/>
              <a:cs typeface="+mn-cs"/>
            </a:rPr>
            <a:t>InCalf has been adapted for NZ farming systems from the original programme developed by Dairy Australia.</a:t>
          </a:r>
          <a:r>
            <a:rPr lang="en-NZ" sz="900">
              <a:solidFill>
                <a:schemeClr val="bg1"/>
              </a:solidFill>
            </a:rPr>
            <a:t> </a:t>
          </a:r>
        </a:p>
      </xdr:txBody>
    </xdr:sp>
    <xdr:clientData/>
  </xdr:twoCellAnchor>
  <xdr:twoCellAnchor editAs="oneCell">
    <xdr:from>
      <xdr:col>0</xdr:col>
      <xdr:colOff>7010400</xdr:colOff>
      <xdr:row>0</xdr:row>
      <xdr:rowOff>95250</xdr:rowOff>
    </xdr:from>
    <xdr:to>
      <xdr:col>1</xdr:col>
      <xdr:colOff>122804</xdr:colOff>
      <xdr:row>0</xdr:row>
      <xdr:rowOff>617758</xdr:rowOff>
    </xdr:to>
    <xdr:pic>
      <xdr:nvPicPr>
        <xdr:cNvPr id="9" name="Picture 8">
          <a:extLst>
            <a:ext uri="{FF2B5EF4-FFF2-40B4-BE49-F238E27FC236}">
              <a16:creationId xmlns:a16="http://schemas.microsoft.com/office/drawing/2014/main" id="{784BA5DA-678F-4B7F-9AB4-8B408EE3422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010400" y="95250"/>
          <a:ext cx="500629" cy="519333"/>
        </a:xfrm>
        <a:prstGeom prst="rect">
          <a:avLst/>
        </a:prstGeom>
      </xdr:spPr>
    </xdr:pic>
    <xdr:clientData/>
  </xdr:twoCellAnchor>
  <xdr:twoCellAnchor>
    <xdr:from>
      <xdr:col>0</xdr:col>
      <xdr:colOff>0</xdr:colOff>
      <xdr:row>16</xdr:row>
      <xdr:rowOff>19049</xdr:rowOff>
    </xdr:from>
    <xdr:to>
      <xdr:col>1</xdr:col>
      <xdr:colOff>219075</xdr:colOff>
      <xdr:row>19</xdr:row>
      <xdr:rowOff>152399</xdr:rowOff>
    </xdr:to>
    <xdr:sp macro="" textlink="">
      <xdr:nvSpPr>
        <xdr:cNvPr id="10" name="TextBox 9">
          <a:extLst>
            <a:ext uri="{FF2B5EF4-FFF2-40B4-BE49-F238E27FC236}">
              <a16:creationId xmlns:a16="http://schemas.microsoft.com/office/drawing/2014/main" id="{276C734B-24E5-49D9-B16A-64D95C037446}"/>
            </a:ext>
          </a:extLst>
        </xdr:cNvPr>
        <xdr:cNvSpPr txBox="1"/>
      </xdr:nvSpPr>
      <xdr:spPr>
        <a:xfrm>
          <a:off x="0" y="10591799"/>
          <a:ext cx="7610475"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800" b="0" i="1" u="none" strike="noStrike">
              <a:solidFill>
                <a:sysClr val="windowText" lastClr="000000"/>
              </a:solidFill>
              <a:effectLst/>
              <a:latin typeface="+mn-lt"/>
              <a:ea typeface="+mn-ea"/>
              <a:cs typeface="+mn-cs"/>
            </a:rPr>
            <a:t>Disclaimer: DairyNZ ("DairyNZ, "we", "our")</a:t>
          </a:r>
          <a:r>
            <a:rPr lang="en-NZ" sz="800" b="0" i="1" u="none" strike="noStrike" baseline="0">
              <a:solidFill>
                <a:sysClr val="windowText" lastClr="000000"/>
              </a:solidFill>
              <a:effectLst/>
              <a:latin typeface="+mn-lt"/>
              <a:ea typeface="+mn-ea"/>
              <a:cs typeface="+mn-cs"/>
            </a:rPr>
            <a:t> endeavours to ensure that the information in this publication is accurate and current. However, we do not accept liability for any error or omission. The information that appears in this publication is intended to provide the best possible farm management practises, systems and advice that DairyNZ has access to. It may however, be subject to change at any time without notice. DairyNZ takes no responsibility whatsoever for the currency and/or accuracy of this information, its completeness or fitness for purpose.</a:t>
          </a:r>
          <a:endParaRPr lang="en-NZ" sz="800" i="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1940717</xdr:colOff>
      <xdr:row>52</xdr:row>
      <xdr:rowOff>76200</xdr:rowOff>
    </xdr:from>
    <xdr:to>
      <xdr:col>5</xdr:col>
      <xdr:colOff>1066797</xdr:colOff>
      <xdr:row>56</xdr:row>
      <xdr:rowOff>0</xdr:rowOff>
    </xdr:to>
    <xdr:grpSp>
      <xdr:nvGrpSpPr>
        <xdr:cNvPr id="2" name="Group 1">
          <a:extLst>
            <a:ext uri="{FF2B5EF4-FFF2-40B4-BE49-F238E27FC236}">
              <a16:creationId xmlns:a16="http://schemas.microsoft.com/office/drawing/2014/main" id="{CAAA7CA7-004E-40EB-8A49-66347F8764BC}"/>
            </a:ext>
          </a:extLst>
        </xdr:cNvPr>
        <xdr:cNvGrpSpPr/>
      </xdr:nvGrpSpPr>
      <xdr:grpSpPr>
        <a:xfrm>
          <a:off x="7455692" y="9686925"/>
          <a:ext cx="2221705" cy="647700"/>
          <a:chOff x="4629150" y="9553575"/>
          <a:chExt cx="2914648" cy="707143"/>
        </a:xfrm>
      </xdr:grpSpPr>
      <xdr:pic>
        <xdr:nvPicPr>
          <xdr:cNvPr id="3" name="InCalf logo">
            <a:extLst>
              <a:ext uri="{FF2B5EF4-FFF2-40B4-BE49-F238E27FC236}">
                <a16:creationId xmlns:a16="http://schemas.microsoft.com/office/drawing/2014/main" id="{630ADFC0-8CEF-4E4D-B1B2-033D32AEF3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9150" y="9553575"/>
            <a:ext cx="707143" cy="707143"/>
          </a:xfrm>
          <a:prstGeom prst="rect">
            <a:avLst/>
          </a:prstGeom>
        </xdr:spPr>
      </xdr:pic>
      <xdr:pic>
        <xdr:nvPicPr>
          <xdr:cNvPr id="4" name="DairyNZ logo (reverse)">
            <a:extLst>
              <a:ext uri="{FF2B5EF4-FFF2-40B4-BE49-F238E27FC236}">
                <a16:creationId xmlns:a16="http://schemas.microsoft.com/office/drawing/2014/main" id="{34FAAAE1-8E44-4AB1-A169-B65A7C098A7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05475" y="9610725"/>
            <a:ext cx="1838323" cy="542925"/>
          </a:xfrm>
          <a:prstGeom prst="rect">
            <a:avLst/>
          </a:prstGeom>
        </xdr:spPr>
      </xdr:pic>
    </xdr:grpSp>
    <xdr:clientData/>
  </xdr:twoCellAnchor>
  <xdr:twoCellAnchor editAs="oneCell">
    <xdr:from>
      <xdr:col>5</xdr:col>
      <xdr:colOff>623887</xdr:colOff>
      <xdr:row>0</xdr:row>
      <xdr:rowOff>126206</xdr:rowOff>
    </xdr:from>
    <xdr:to>
      <xdr:col>5</xdr:col>
      <xdr:colOff>1134041</xdr:colOff>
      <xdr:row>0</xdr:row>
      <xdr:rowOff>645539</xdr:rowOff>
    </xdr:to>
    <xdr:pic>
      <xdr:nvPicPr>
        <xdr:cNvPr id="5" name="Picture 4">
          <a:extLst>
            <a:ext uri="{FF2B5EF4-FFF2-40B4-BE49-F238E27FC236}">
              <a16:creationId xmlns:a16="http://schemas.microsoft.com/office/drawing/2014/main" id="{D657E0BF-FE92-440D-804D-5C7DE7596FC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613106" y="126206"/>
          <a:ext cx="500629" cy="519333"/>
        </a:xfrm>
        <a:prstGeom prst="rect">
          <a:avLst/>
        </a:prstGeom>
      </xdr:spPr>
    </xdr:pic>
    <xdr:clientData/>
  </xdr:twoCellAnchor>
  <xdr:twoCellAnchor>
    <xdr:from>
      <xdr:col>0</xdr:col>
      <xdr:colOff>9525</xdr:colOff>
      <xdr:row>33</xdr:row>
      <xdr:rowOff>59531</xdr:rowOff>
    </xdr:from>
    <xdr:to>
      <xdr:col>5</xdr:col>
      <xdr:colOff>1181100</xdr:colOff>
      <xdr:row>52</xdr:row>
      <xdr:rowOff>35718</xdr:rowOff>
    </xdr:to>
    <xdr:sp macro="" textlink="">
      <xdr:nvSpPr>
        <xdr:cNvPr id="8" name="TextBox 7">
          <a:extLst>
            <a:ext uri="{FF2B5EF4-FFF2-40B4-BE49-F238E27FC236}">
              <a16:creationId xmlns:a16="http://schemas.microsoft.com/office/drawing/2014/main" id="{428741B3-D8ED-46C4-A5B2-6F5ECCFCEBE9}"/>
            </a:ext>
          </a:extLst>
        </xdr:cNvPr>
        <xdr:cNvSpPr txBox="1"/>
      </xdr:nvSpPr>
      <xdr:spPr>
        <a:xfrm>
          <a:off x="9525" y="8822531"/>
          <a:ext cx="10160794" cy="583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800" b="0" i="1" u="none" strike="noStrike">
              <a:solidFill>
                <a:sysClr val="windowText" lastClr="000000"/>
              </a:solidFill>
              <a:effectLst/>
              <a:latin typeface="+mn-lt"/>
              <a:ea typeface="+mn-ea"/>
              <a:cs typeface="+mn-cs"/>
            </a:rPr>
            <a:t>Disclaimer: DairyNZ ("DairyNZ, "we", "our")</a:t>
          </a:r>
          <a:r>
            <a:rPr lang="en-NZ" sz="800" b="0" i="1" u="none" strike="noStrike" baseline="0">
              <a:solidFill>
                <a:sysClr val="windowText" lastClr="000000"/>
              </a:solidFill>
              <a:effectLst/>
              <a:latin typeface="+mn-lt"/>
              <a:ea typeface="+mn-ea"/>
              <a:cs typeface="+mn-cs"/>
            </a:rPr>
            <a:t> endeavours to ensure that the information in this publication is accurate and current. However, we do not accept liability for any error or omission. The information that appears in this publication is intended to provide the best possible farm management practises, systems and advice that DairyNZ has access to. It may however, be subject to change at any time without notice. DairyNZ takes no responsibility whatsoever for the currency and/or accuracy of this information, its completeness or fitness for purpose.</a:t>
          </a:r>
          <a:endParaRPr lang="en-NZ" sz="800" i="1">
            <a:solidFill>
              <a:sysClr val="windowText" lastClr="000000"/>
            </a:solidFill>
          </a:endParaRPr>
        </a:p>
      </xdr:txBody>
    </xdr:sp>
    <xdr:clientData/>
  </xdr:twoCellAnchor>
  <xdr:twoCellAnchor>
    <xdr:from>
      <xdr:col>0</xdr:col>
      <xdr:colOff>123825</xdr:colOff>
      <xdr:row>52</xdr:row>
      <xdr:rowOff>85725</xdr:rowOff>
    </xdr:from>
    <xdr:to>
      <xdr:col>1</xdr:col>
      <xdr:colOff>854075</xdr:colOff>
      <xdr:row>55</xdr:row>
      <xdr:rowOff>117475</xdr:rowOff>
    </xdr:to>
    <xdr:sp macro="" textlink="">
      <xdr:nvSpPr>
        <xdr:cNvPr id="9" name="TextBox 8">
          <a:extLst>
            <a:ext uri="{FF2B5EF4-FFF2-40B4-BE49-F238E27FC236}">
              <a16:creationId xmlns:a16="http://schemas.microsoft.com/office/drawing/2014/main" id="{114BEE2B-EF73-468E-8463-A4B7F0BEE028}"/>
            </a:ext>
            <a:ext uri="{147F2762-F138-4A5C-976F-8EAC2B608ADB}">
              <a16:predDERef xmlns:a16="http://schemas.microsoft.com/office/drawing/2014/main" pred="{428741B3-D8ED-46C4-A5B2-6F5ECCFCEBE9}"/>
            </a:ext>
          </a:extLst>
        </xdr:cNvPr>
        <xdr:cNvSpPr txBox="1"/>
      </xdr:nvSpPr>
      <xdr:spPr>
        <a:xfrm>
          <a:off x="123825" y="9925050"/>
          <a:ext cx="4349750" cy="574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900" b="0" i="0" u="none" strike="noStrike">
              <a:solidFill>
                <a:schemeClr val="bg1"/>
              </a:solidFill>
              <a:effectLst/>
              <a:latin typeface="+mn-lt"/>
              <a:ea typeface="+mn-ea"/>
              <a:cs typeface="+mn-cs"/>
            </a:rPr>
            <a:t>This work has been funded by the NZ dairy industry through the DairyNZ levy.</a:t>
          </a:r>
          <a:r>
            <a:rPr lang="en-NZ" sz="900">
              <a:solidFill>
                <a:schemeClr val="bg1"/>
              </a:solidFill>
            </a:rPr>
            <a:t> </a:t>
          </a:r>
        </a:p>
        <a:p>
          <a:endParaRPr lang="en-NZ" sz="200" b="0" i="0" u="none" strike="noStrike">
            <a:solidFill>
              <a:schemeClr val="bg1"/>
            </a:solidFill>
            <a:effectLst/>
            <a:latin typeface="+mn-lt"/>
            <a:ea typeface="+mn-ea"/>
            <a:cs typeface="+mn-cs"/>
          </a:endParaRPr>
        </a:p>
        <a:p>
          <a:r>
            <a:rPr lang="en-NZ" sz="900" b="0" i="0" u="none" strike="noStrike">
              <a:solidFill>
                <a:schemeClr val="bg1"/>
              </a:solidFill>
              <a:effectLst/>
              <a:latin typeface="+mn-lt"/>
              <a:ea typeface="+mn-ea"/>
              <a:cs typeface="+mn-cs"/>
            </a:rPr>
            <a:t>InCalf has been adapted for NZ farming systems from the original programme developed by Dairy Australia.</a:t>
          </a:r>
          <a:r>
            <a:rPr lang="en-NZ" sz="900">
              <a:solidFill>
                <a:schemeClr val="bg1"/>
              </a:solidFill>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88900</xdr:colOff>
      <xdr:row>29</xdr:row>
      <xdr:rowOff>161925</xdr:rowOff>
    </xdr:from>
    <xdr:to>
      <xdr:col>6</xdr:col>
      <xdr:colOff>1165225</xdr:colOff>
      <xdr:row>51</xdr:row>
      <xdr:rowOff>28573</xdr:rowOff>
    </xdr:to>
    <xdr:grpSp>
      <xdr:nvGrpSpPr>
        <xdr:cNvPr id="2" name="Group 1">
          <a:extLst>
            <a:ext uri="{FF2B5EF4-FFF2-40B4-BE49-F238E27FC236}">
              <a16:creationId xmlns:a16="http://schemas.microsoft.com/office/drawing/2014/main" id="{58D14B07-CFF6-4C57-BF58-7410E970B1D6}"/>
            </a:ext>
          </a:extLst>
        </xdr:cNvPr>
        <xdr:cNvGrpSpPr/>
      </xdr:nvGrpSpPr>
      <xdr:grpSpPr>
        <a:xfrm>
          <a:off x="609600" y="7931150"/>
          <a:ext cx="8959850" cy="5511798"/>
          <a:chOff x="593477" y="5386193"/>
          <a:chExt cx="9001125" cy="4905375"/>
        </a:xfrm>
      </xdr:grpSpPr>
      <xdr:graphicFrame macro="">
        <xdr:nvGraphicFramePr>
          <xdr:cNvPr id="4" name="Chart 3">
            <a:extLst>
              <a:ext uri="{FF2B5EF4-FFF2-40B4-BE49-F238E27FC236}">
                <a16:creationId xmlns:a16="http://schemas.microsoft.com/office/drawing/2014/main" id="{A3DBC967-AA08-4A9C-872C-971F3E725513}"/>
              </a:ext>
            </a:extLst>
          </xdr:cNvPr>
          <xdr:cNvGraphicFramePr/>
        </xdr:nvGraphicFramePr>
        <xdr:xfrm>
          <a:off x="593477" y="5386193"/>
          <a:ext cx="9001125" cy="4905375"/>
        </xdr:xfrm>
        <a:graphic>
          <a:graphicData uri="http://schemas.openxmlformats.org/drawingml/2006/chart">
            <c:chart xmlns:c="http://schemas.openxmlformats.org/drawingml/2006/chart" xmlns:r="http://schemas.openxmlformats.org/officeDocument/2006/relationships" r:id="rId1"/>
          </a:graphicData>
        </a:graphic>
      </xdr:graphicFrame>
      <xdr:pic>
        <xdr:nvPicPr>
          <xdr:cNvPr id="9" name="Picture 8">
            <a:extLst>
              <a:ext uri="{FF2B5EF4-FFF2-40B4-BE49-F238E27FC236}">
                <a16:creationId xmlns:a16="http://schemas.microsoft.com/office/drawing/2014/main" id="{FB9DF3F4-E35E-44EE-9574-321EFE6DBA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77123" y="5498035"/>
            <a:ext cx="781050" cy="544488"/>
          </a:xfrm>
          <a:prstGeom prst="rect">
            <a:avLst/>
          </a:prstGeom>
        </xdr:spPr>
      </xdr:pic>
      <xdr:pic>
        <xdr:nvPicPr>
          <xdr:cNvPr id="10" name="Picture 9">
            <a:extLst>
              <a:ext uri="{FF2B5EF4-FFF2-40B4-BE49-F238E27FC236}">
                <a16:creationId xmlns:a16="http://schemas.microsoft.com/office/drawing/2014/main" id="{578B27BC-2CDF-4549-B61B-F46681449C4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09576" y="5581370"/>
            <a:ext cx="1162049" cy="344635"/>
          </a:xfrm>
          <a:prstGeom prst="rect">
            <a:avLst/>
          </a:prstGeom>
        </xdr:spPr>
      </xdr:pic>
    </xdr:grpSp>
    <xdr:clientData/>
  </xdr:twoCellAnchor>
  <xdr:twoCellAnchor>
    <xdr:from>
      <xdr:col>3</xdr:col>
      <xdr:colOff>712786</xdr:colOff>
      <xdr:row>14</xdr:row>
      <xdr:rowOff>38100</xdr:rowOff>
    </xdr:from>
    <xdr:to>
      <xdr:col>7</xdr:col>
      <xdr:colOff>182611</xdr:colOff>
      <xdr:row>26</xdr:row>
      <xdr:rowOff>223750</xdr:rowOff>
    </xdr:to>
    <xdr:grpSp>
      <xdr:nvGrpSpPr>
        <xdr:cNvPr id="11" name="Group 10">
          <a:extLst>
            <a:ext uri="{FF2B5EF4-FFF2-40B4-BE49-F238E27FC236}">
              <a16:creationId xmlns:a16="http://schemas.microsoft.com/office/drawing/2014/main" id="{0CAE1AA5-1446-4C7A-A9AC-9B11F3422BDB}"/>
            </a:ext>
          </a:extLst>
        </xdr:cNvPr>
        <xdr:cNvGrpSpPr/>
      </xdr:nvGrpSpPr>
      <xdr:grpSpPr>
        <a:xfrm>
          <a:off x="5202236" y="3952875"/>
          <a:ext cx="4683175" cy="3268575"/>
          <a:chOff x="5258601" y="3737537"/>
          <a:chExt cx="4948239" cy="3413124"/>
        </a:xfrm>
      </xdr:grpSpPr>
      <xdr:graphicFrame macro="">
        <xdr:nvGraphicFramePr>
          <xdr:cNvPr id="3" name="Chart 2">
            <a:extLst>
              <a:ext uri="{FF2B5EF4-FFF2-40B4-BE49-F238E27FC236}">
                <a16:creationId xmlns:a16="http://schemas.microsoft.com/office/drawing/2014/main" id="{FBAE0F28-E14B-4684-B6D1-50FB113B1772}"/>
              </a:ext>
            </a:extLst>
          </xdr:cNvPr>
          <xdr:cNvGraphicFramePr/>
        </xdr:nvGraphicFramePr>
        <xdr:xfrm>
          <a:off x="5258601" y="3737537"/>
          <a:ext cx="4948239" cy="3413124"/>
        </xdr:xfrm>
        <a:graphic>
          <a:graphicData uri="http://schemas.openxmlformats.org/drawingml/2006/chart">
            <c:chart xmlns:c="http://schemas.openxmlformats.org/drawingml/2006/chart" xmlns:r="http://schemas.openxmlformats.org/officeDocument/2006/relationships" r:id="rId4"/>
          </a:graphicData>
        </a:graphic>
      </xdr:graphicFrame>
      <xdr:pic>
        <xdr:nvPicPr>
          <xdr:cNvPr id="13" name="Picture 12">
            <a:extLst>
              <a:ext uri="{FF2B5EF4-FFF2-40B4-BE49-F238E27FC236}">
                <a16:creationId xmlns:a16="http://schemas.microsoft.com/office/drawing/2014/main" id="{C87CE0F6-C040-4757-A03E-458B434F0F5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379265" y="3862132"/>
            <a:ext cx="723899" cy="221041"/>
          </a:xfrm>
          <a:prstGeom prst="rect">
            <a:avLst/>
          </a:prstGeom>
        </xdr:spPr>
      </xdr:pic>
      <xdr:pic>
        <xdr:nvPicPr>
          <xdr:cNvPr id="14" name="Picture 13">
            <a:extLst>
              <a:ext uri="{FF2B5EF4-FFF2-40B4-BE49-F238E27FC236}">
                <a16:creationId xmlns:a16="http://schemas.microsoft.com/office/drawing/2014/main" id="{7DB52EE9-363A-470F-8F0B-A80C242A65C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619990" y="3820857"/>
            <a:ext cx="476250" cy="338355"/>
          </a:xfrm>
          <a:prstGeom prst="rect">
            <a:avLst/>
          </a:prstGeom>
        </xdr:spPr>
      </xdr:pic>
    </xdr:grpSp>
    <xdr:clientData/>
  </xdr:twoCellAnchor>
  <xdr:twoCellAnchor>
    <xdr:from>
      <xdr:col>0</xdr:col>
      <xdr:colOff>395287</xdr:colOff>
      <xdr:row>14</xdr:row>
      <xdr:rowOff>34925</xdr:rowOff>
    </xdr:from>
    <xdr:to>
      <xdr:col>3</xdr:col>
      <xdr:colOff>601713</xdr:colOff>
      <xdr:row>26</xdr:row>
      <xdr:rowOff>220575</xdr:rowOff>
    </xdr:to>
    <xdr:grpSp>
      <xdr:nvGrpSpPr>
        <xdr:cNvPr id="6" name="Group 5">
          <a:extLst>
            <a:ext uri="{FF2B5EF4-FFF2-40B4-BE49-F238E27FC236}">
              <a16:creationId xmlns:a16="http://schemas.microsoft.com/office/drawing/2014/main" id="{B9DCB028-106C-4B9A-9AC7-FF54DCC81ACE}"/>
            </a:ext>
          </a:extLst>
        </xdr:cNvPr>
        <xdr:cNvGrpSpPr/>
      </xdr:nvGrpSpPr>
      <xdr:grpSpPr>
        <a:xfrm>
          <a:off x="392112" y="3949700"/>
          <a:ext cx="4692701" cy="3268575"/>
          <a:chOff x="339839" y="6613037"/>
          <a:chExt cx="4792663" cy="3340100"/>
        </a:xfrm>
      </xdr:grpSpPr>
      <xdr:graphicFrame macro="">
        <xdr:nvGraphicFramePr>
          <xdr:cNvPr id="7" name="Chart 6">
            <a:extLst>
              <a:ext uri="{FF2B5EF4-FFF2-40B4-BE49-F238E27FC236}">
                <a16:creationId xmlns:a16="http://schemas.microsoft.com/office/drawing/2014/main" id="{E864ADAD-D21A-49EB-8D3F-CA2E40243F1A}"/>
              </a:ext>
            </a:extLst>
          </xdr:cNvPr>
          <xdr:cNvGraphicFramePr/>
        </xdr:nvGraphicFramePr>
        <xdr:xfrm>
          <a:off x="339839" y="6613037"/>
          <a:ext cx="4792663" cy="3340100"/>
        </xdr:xfrm>
        <a:graphic>
          <a:graphicData uri="http://schemas.openxmlformats.org/drawingml/2006/chart">
            <c:chart xmlns:c="http://schemas.openxmlformats.org/drawingml/2006/chart" xmlns:r="http://schemas.openxmlformats.org/officeDocument/2006/relationships" r:id="rId7"/>
          </a:graphicData>
        </a:graphic>
      </xdr:graphicFrame>
      <xdr:pic>
        <xdr:nvPicPr>
          <xdr:cNvPr id="12" name="Picture 11">
            <a:extLst>
              <a:ext uri="{FF2B5EF4-FFF2-40B4-BE49-F238E27FC236}">
                <a16:creationId xmlns:a16="http://schemas.microsoft.com/office/drawing/2014/main" id="{9B343A66-FCE9-4161-8EBA-E247E08042F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98760" y="6768194"/>
            <a:ext cx="752474" cy="229515"/>
          </a:xfrm>
          <a:prstGeom prst="rect">
            <a:avLst/>
          </a:prstGeom>
        </xdr:spPr>
      </xdr:pic>
      <xdr:pic>
        <xdr:nvPicPr>
          <xdr:cNvPr id="15" name="Picture 14">
            <a:extLst>
              <a:ext uri="{FF2B5EF4-FFF2-40B4-BE49-F238E27FC236}">
                <a16:creationId xmlns:a16="http://schemas.microsoft.com/office/drawing/2014/main" id="{6ACCB795-0F83-47DE-AE80-8F8074C48A3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467100" y="6739067"/>
            <a:ext cx="473075" cy="338355"/>
          </a:xfrm>
          <a:prstGeom prst="rect">
            <a:avLst/>
          </a:prstGeom>
        </xdr:spPr>
      </xdr:pic>
    </xdr:grpSp>
    <xdr:clientData/>
  </xdr:twoCellAnchor>
  <xdr:twoCellAnchor>
    <xdr:from>
      <xdr:col>5</xdr:col>
      <xdr:colOff>323850</xdr:colOff>
      <xdr:row>59</xdr:row>
      <xdr:rowOff>31750</xdr:rowOff>
    </xdr:from>
    <xdr:to>
      <xdr:col>7</xdr:col>
      <xdr:colOff>377823</xdr:colOff>
      <xdr:row>63</xdr:row>
      <xdr:rowOff>0</xdr:rowOff>
    </xdr:to>
    <xdr:grpSp>
      <xdr:nvGrpSpPr>
        <xdr:cNvPr id="16" name="Group 15">
          <a:extLst>
            <a:ext uri="{FF2B5EF4-FFF2-40B4-BE49-F238E27FC236}">
              <a16:creationId xmlns:a16="http://schemas.microsoft.com/office/drawing/2014/main" id="{26D42D51-1A37-4626-A1B8-14D62642B9A7}"/>
            </a:ext>
          </a:extLst>
        </xdr:cNvPr>
        <xdr:cNvGrpSpPr/>
      </xdr:nvGrpSpPr>
      <xdr:grpSpPr>
        <a:xfrm>
          <a:off x="7419975" y="14897100"/>
          <a:ext cx="2660648" cy="695325"/>
          <a:chOff x="4629150" y="9553575"/>
          <a:chExt cx="2914648" cy="707143"/>
        </a:xfrm>
      </xdr:grpSpPr>
      <xdr:pic>
        <xdr:nvPicPr>
          <xdr:cNvPr id="17" name="InCalf logo">
            <a:extLst>
              <a:ext uri="{FF2B5EF4-FFF2-40B4-BE49-F238E27FC236}">
                <a16:creationId xmlns:a16="http://schemas.microsoft.com/office/drawing/2014/main" id="{94A05542-BB5C-4331-AE1E-11C05547C61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629150" y="9553575"/>
            <a:ext cx="707143" cy="707143"/>
          </a:xfrm>
          <a:prstGeom prst="rect">
            <a:avLst/>
          </a:prstGeom>
        </xdr:spPr>
      </xdr:pic>
      <xdr:pic>
        <xdr:nvPicPr>
          <xdr:cNvPr id="18" name="DairyNZ logo (reverse)">
            <a:extLst>
              <a:ext uri="{FF2B5EF4-FFF2-40B4-BE49-F238E27FC236}">
                <a16:creationId xmlns:a16="http://schemas.microsoft.com/office/drawing/2014/main" id="{C153EC72-3C82-4392-84F3-4FC1BCD7D423}"/>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5705475" y="9610725"/>
            <a:ext cx="1838323" cy="542925"/>
          </a:xfrm>
          <a:prstGeom prst="rect">
            <a:avLst/>
          </a:prstGeom>
        </xdr:spPr>
      </xdr:pic>
    </xdr:grpSp>
    <xdr:clientData/>
  </xdr:twoCellAnchor>
  <xdr:twoCellAnchor editAs="oneCell">
    <xdr:from>
      <xdr:col>6</xdr:col>
      <xdr:colOff>1266825</xdr:colOff>
      <xdr:row>0</xdr:row>
      <xdr:rowOff>133350</xdr:rowOff>
    </xdr:from>
    <xdr:to>
      <xdr:col>7</xdr:col>
      <xdr:colOff>468879</xdr:colOff>
      <xdr:row>0</xdr:row>
      <xdr:rowOff>659033</xdr:rowOff>
    </xdr:to>
    <xdr:pic>
      <xdr:nvPicPr>
        <xdr:cNvPr id="19" name="Picture 18">
          <a:extLst>
            <a:ext uri="{FF2B5EF4-FFF2-40B4-BE49-F238E27FC236}">
              <a16:creationId xmlns:a16="http://schemas.microsoft.com/office/drawing/2014/main" id="{566AF3F2-C697-44D6-A7BB-B9A9A3C59664}"/>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9667875" y="133350"/>
          <a:ext cx="500629" cy="519333"/>
        </a:xfrm>
        <a:prstGeom prst="rect">
          <a:avLst/>
        </a:prstGeom>
      </xdr:spPr>
    </xdr:pic>
    <xdr:clientData/>
  </xdr:twoCellAnchor>
  <xdr:twoCellAnchor>
    <xdr:from>
      <xdr:col>0</xdr:col>
      <xdr:colOff>0</xdr:colOff>
      <xdr:row>56</xdr:row>
      <xdr:rowOff>152400</xdr:rowOff>
    </xdr:from>
    <xdr:to>
      <xdr:col>7</xdr:col>
      <xdr:colOff>581025</xdr:colOff>
      <xdr:row>58</xdr:row>
      <xdr:rowOff>209550</xdr:rowOff>
    </xdr:to>
    <xdr:sp macro="" textlink="">
      <xdr:nvSpPr>
        <xdr:cNvPr id="21" name="TextBox 20">
          <a:extLst>
            <a:ext uri="{FF2B5EF4-FFF2-40B4-BE49-F238E27FC236}">
              <a16:creationId xmlns:a16="http://schemas.microsoft.com/office/drawing/2014/main" id="{88A04B73-D079-40FC-A27F-B80CF1A2ABEA}"/>
            </a:ext>
          </a:extLst>
        </xdr:cNvPr>
        <xdr:cNvSpPr txBox="1"/>
      </xdr:nvSpPr>
      <xdr:spPr>
        <a:xfrm>
          <a:off x="0" y="14420850"/>
          <a:ext cx="10287000"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800" b="0" i="1" u="none" strike="noStrike">
              <a:solidFill>
                <a:sysClr val="windowText" lastClr="000000"/>
              </a:solidFill>
              <a:effectLst/>
              <a:latin typeface="+mn-lt"/>
              <a:ea typeface="+mn-ea"/>
              <a:cs typeface="+mn-cs"/>
            </a:rPr>
            <a:t>Disclaimer: DairyNZ ("DairyNZ, "we", "our")</a:t>
          </a:r>
          <a:r>
            <a:rPr lang="en-NZ" sz="800" b="0" i="1" u="none" strike="noStrike" baseline="0">
              <a:solidFill>
                <a:sysClr val="windowText" lastClr="000000"/>
              </a:solidFill>
              <a:effectLst/>
              <a:latin typeface="+mn-lt"/>
              <a:ea typeface="+mn-ea"/>
              <a:cs typeface="+mn-cs"/>
            </a:rPr>
            <a:t> endeavours to ensure that the information in this publication is accurate and current. However, we do not accept liability for any error or omission. The information that appears in this publication is intended to provide the best possible farm management practises, systems and advice that DairyNZ has access to. It may however, be subject to change at any time without notice. DairyNZ takes no responsibility whatsoever for the currency and/or accuracy of this information, its completeness or fitness for purpose.</a:t>
          </a:r>
          <a:endParaRPr lang="en-NZ" sz="800" i="1">
            <a:solidFill>
              <a:sysClr val="windowText" lastClr="000000"/>
            </a:solidFill>
          </a:endParaRPr>
        </a:p>
      </xdr:txBody>
    </xdr:sp>
    <xdr:clientData/>
  </xdr:twoCellAnchor>
  <xdr:twoCellAnchor>
    <xdr:from>
      <xdr:col>0</xdr:col>
      <xdr:colOff>104775</xdr:colOff>
      <xdr:row>59</xdr:row>
      <xdr:rowOff>66675</xdr:rowOff>
    </xdr:from>
    <xdr:to>
      <xdr:col>2</xdr:col>
      <xdr:colOff>1130300</xdr:colOff>
      <xdr:row>62</xdr:row>
      <xdr:rowOff>98425</xdr:rowOff>
    </xdr:to>
    <xdr:sp macro="" textlink="">
      <xdr:nvSpPr>
        <xdr:cNvPr id="22" name="TextBox 21">
          <a:extLst>
            <a:ext uri="{FF2B5EF4-FFF2-40B4-BE49-F238E27FC236}">
              <a16:creationId xmlns:a16="http://schemas.microsoft.com/office/drawing/2014/main" id="{9F489136-91FD-4E50-B9BF-A4FE15EED643}"/>
            </a:ext>
          </a:extLst>
        </xdr:cNvPr>
        <xdr:cNvSpPr txBox="1"/>
      </xdr:nvSpPr>
      <xdr:spPr>
        <a:xfrm>
          <a:off x="104775" y="14335125"/>
          <a:ext cx="4206875" cy="574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900" b="0" i="0" u="none" strike="noStrike">
              <a:solidFill>
                <a:schemeClr val="bg1"/>
              </a:solidFill>
              <a:effectLst/>
              <a:latin typeface="+mn-lt"/>
              <a:ea typeface="+mn-ea"/>
              <a:cs typeface="+mn-cs"/>
            </a:rPr>
            <a:t>This work has been funded by the NZ dairy industry through the DairyNZ levy.</a:t>
          </a:r>
          <a:r>
            <a:rPr lang="en-NZ" sz="900">
              <a:solidFill>
                <a:schemeClr val="bg1"/>
              </a:solidFill>
            </a:rPr>
            <a:t> </a:t>
          </a:r>
        </a:p>
        <a:p>
          <a:endParaRPr lang="en-NZ" sz="200" b="0" i="0" u="none" strike="noStrike">
            <a:solidFill>
              <a:schemeClr val="bg1"/>
            </a:solidFill>
            <a:effectLst/>
            <a:latin typeface="+mn-lt"/>
            <a:ea typeface="+mn-ea"/>
            <a:cs typeface="+mn-cs"/>
          </a:endParaRPr>
        </a:p>
        <a:p>
          <a:r>
            <a:rPr lang="en-NZ" sz="900" b="0" i="0" u="none" strike="noStrike">
              <a:solidFill>
                <a:schemeClr val="bg1"/>
              </a:solidFill>
              <a:effectLst/>
              <a:latin typeface="+mn-lt"/>
              <a:ea typeface="+mn-ea"/>
              <a:cs typeface="+mn-cs"/>
            </a:rPr>
            <a:t>InCalf has been adapted for NZ farming systems from the original programme developed by Dairy Australia.</a:t>
          </a:r>
          <a:r>
            <a:rPr lang="en-NZ" sz="900">
              <a:solidFill>
                <a:schemeClr val="bg1"/>
              </a:solidFill>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1816100</xdr:colOff>
      <xdr:row>36</xdr:row>
      <xdr:rowOff>101600</xdr:rowOff>
    </xdr:from>
    <xdr:to>
      <xdr:col>3</xdr:col>
      <xdr:colOff>1127123</xdr:colOff>
      <xdr:row>40</xdr:row>
      <xdr:rowOff>38100</xdr:rowOff>
    </xdr:to>
    <xdr:grpSp>
      <xdr:nvGrpSpPr>
        <xdr:cNvPr id="8" name="Group 7">
          <a:extLst>
            <a:ext uri="{FF2B5EF4-FFF2-40B4-BE49-F238E27FC236}">
              <a16:creationId xmlns:a16="http://schemas.microsoft.com/office/drawing/2014/main" id="{3CAB9A5C-91D1-40B0-9305-D2F7B9A4E820}"/>
            </a:ext>
          </a:extLst>
        </xdr:cNvPr>
        <xdr:cNvGrpSpPr/>
      </xdr:nvGrpSpPr>
      <xdr:grpSpPr>
        <a:xfrm>
          <a:off x="5791200" y="10715625"/>
          <a:ext cx="2536823" cy="619125"/>
          <a:chOff x="4629150" y="9553575"/>
          <a:chExt cx="2914648" cy="707143"/>
        </a:xfrm>
      </xdr:grpSpPr>
      <xdr:pic>
        <xdr:nvPicPr>
          <xdr:cNvPr id="9" name="InCalf logo">
            <a:extLst>
              <a:ext uri="{FF2B5EF4-FFF2-40B4-BE49-F238E27FC236}">
                <a16:creationId xmlns:a16="http://schemas.microsoft.com/office/drawing/2014/main" id="{F587B085-169C-45F5-87C2-1744470572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9150" y="9553575"/>
            <a:ext cx="707143" cy="707143"/>
          </a:xfrm>
          <a:prstGeom prst="rect">
            <a:avLst/>
          </a:prstGeom>
        </xdr:spPr>
      </xdr:pic>
      <xdr:pic>
        <xdr:nvPicPr>
          <xdr:cNvPr id="10" name="DairyNZ logo (reverse)">
            <a:extLst>
              <a:ext uri="{FF2B5EF4-FFF2-40B4-BE49-F238E27FC236}">
                <a16:creationId xmlns:a16="http://schemas.microsoft.com/office/drawing/2014/main" id="{C7872EE2-66AF-49AA-973B-656D2C7F58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05475" y="9610725"/>
            <a:ext cx="1838323" cy="542925"/>
          </a:xfrm>
          <a:prstGeom prst="rect">
            <a:avLst/>
          </a:prstGeom>
        </xdr:spPr>
      </xdr:pic>
    </xdr:grpSp>
    <xdr:clientData/>
  </xdr:twoCellAnchor>
  <xdr:twoCellAnchor editAs="oneCell">
    <xdr:from>
      <xdr:col>3</xdr:col>
      <xdr:colOff>244475</xdr:colOff>
      <xdr:row>0</xdr:row>
      <xdr:rowOff>92075</xdr:rowOff>
    </xdr:from>
    <xdr:to>
      <xdr:col>3</xdr:col>
      <xdr:colOff>741929</xdr:colOff>
      <xdr:row>0</xdr:row>
      <xdr:rowOff>611408</xdr:rowOff>
    </xdr:to>
    <xdr:pic>
      <xdr:nvPicPr>
        <xdr:cNvPr id="5" name="Picture 4">
          <a:extLst>
            <a:ext uri="{FF2B5EF4-FFF2-40B4-BE49-F238E27FC236}">
              <a16:creationId xmlns:a16="http://schemas.microsoft.com/office/drawing/2014/main" id="{CBDA9252-ABD0-4BA2-9ADD-F9C28CC51CD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07325" y="92075"/>
          <a:ext cx="497454" cy="519333"/>
        </a:xfrm>
        <a:prstGeom prst="rect">
          <a:avLst/>
        </a:prstGeom>
      </xdr:spPr>
    </xdr:pic>
    <xdr:clientData/>
  </xdr:twoCellAnchor>
  <xdr:twoCellAnchor>
    <xdr:from>
      <xdr:col>0</xdr:col>
      <xdr:colOff>0</xdr:colOff>
      <xdr:row>33</xdr:row>
      <xdr:rowOff>50799</xdr:rowOff>
    </xdr:from>
    <xdr:to>
      <xdr:col>3</xdr:col>
      <xdr:colOff>1301750</xdr:colOff>
      <xdr:row>35</xdr:row>
      <xdr:rowOff>133349</xdr:rowOff>
    </xdr:to>
    <xdr:sp macro="" textlink="">
      <xdr:nvSpPr>
        <xdr:cNvPr id="7" name="TextBox 6">
          <a:extLst>
            <a:ext uri="{FF2B5EF4-FFF2-40B4-BE49-F238E27FC236}">
              <a16:creationId xmlns:a16="http://schemas.microsoft.com/office/drawing/2014/main" id="{9DDC252F-C299-4BCB-A8CB-B8586CFB85D6}"/>
            </a:ext>
          </a:extLst>
        </xdr:cNvPr>
        <xdr:cNvSpPr txBox="1"/>
      </xdr:nvSpPr>
      <xdr:spPr>
        <a:xfrm>
          <a:off x="0" y="10042524"/>
          <a:ext cx="8502650"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800" b="0" i="1" u="none" strike="noStrike">
              <a:solidFill>
                <a:sysClr val="windowText" lastClr="000000"/>
              </a:solidFill>
              <a:effectLst/>
              <a:latin typeface="+mn-lt"/>
              <a:ea typeface="+mn-ea"/>
              <a:cs typeface="+mn-cs"/>
            </a:rPr>
            <a:t>Disclaimer: DairyNZ ("DairyNZ, "we", "our")</a:t>
          </a:r>
          <a:r>
            <a:rPr lang="en-NZ" sz="800" b="0" i="1" u="none" strike="noStrike" baseline="0">
              <a:solidFill>
                <a:sysClr val="windowText" lastClr="000000"/>
              </a:solidFill>
              <a:effectLst/>
              <a:latin typeface="+mn-lt"/>
              <a:ea typeface="+mn-ea"/>
              <a:cs typeface="+mn-cs"/>
            </a:rPr>
            <a:t> endeavours to ensure that the information in this publication is accurate and current. However, we do not accept liability for any error or omission. The information that appears in this publication is intended to provide the best possible farm management practises, systems and advice that DairyNZ has access to. It may however, be subject to change at any time without notice. DairyNZ takes no responsibility whatsoever for the currency and/or accuracy of this information, its completeness or fitness for purpose.</a:t>
          </a:r>
          <a:endParaRPr lang="en-NZ" sz="800" i="1">
            <a:solidFill>
              <a:sysClr val="windowText" lastClr="000000"/>
            </a:solidFill>
          </a:endParaRPr>
        </a:p>
      </xdr:txBody>
    </xdr:sp>
    <xdr:clientData/>
  </xdr:twoCellAnchor>
  <xdr:twoCellAnchor>
    <xdr:from>
      <xdr:col>0</xdr:col>
      <xdr:colOff>57150</xdr:colOff>
      <xdr:row>36</xdr:row>
      <xdr:rowOff>66674</xdr:rowOff>
    </xdr:from>
    <xdr:to>
      <xdr:col>1</xdr:col>
      <xdr:colOff>292100</xdr:colOff>
      <xdr:row>39</xdr:row>
      <xdr:rowOff>98424</xdr:rowOff>
    </xdr:to>
    <xdr:sp macro="" textlink="">
      <xdr:nvSpPr>
        <xdr:cNvPr id="11" name="TextBox 10">
          <a:extLst>
            <a:ext uri="{FF2B5EF4-FFF2-40B4-BE49-F238E27FC236}">
              <a16:creationId xmlns:a16="http://schemas.microsoft.com/office/drawing/2014/main" id="{5A98B757-0F8D-461F-90A5-CDA997E341D3}"/>
            </a:ext>
          </a:extLst>
        </xdr:cNvPr>
        <xdr:cNvSpPr txBox="1"/>
      </xdr:nvSpPr>
      <xdr:spPr>
        <a:xfrm>
          <a:off x="57150" y="13935074"/>
          <a:ext cx="4206875" cy="574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900" b="0" i="0" u="none" strike="noStrike">
              <a:solidFill>
                <a:schemeClr val="bg1"/>
              </a:solidFill>
              <a:effectLst/>
              <a:latin typeface="+mn-lt"/>
              <a:ea typeface="+mn-ea"/>
              <a:cs typeface="+mn-cs"/>
            </a:rPr>
            <a:t>This work has been funded by the NZ dairy industry through the DairyNZ levy.</a:t>
          </a:r>
          <a:r>
            <a:rPr lang="en-NZ" sz="900">
              <a:solidFill>
                <a:schemeClr val="bg1"/>
              </a:solidFill>
            </a:rPr>
            <a:t> </a:t>
          </a:r>
        </a:p>
        <a:p>
          <a:endParaRPr lang="en-NZ" sz="200" b="0" i="0" u="none" strike="noStrike">
            <a:solidFill>
              <a:schemeClr val="bg1"/>
            </a:solidFill>
            <a:effectLst/>
            <a:latin typeface="+mn-lt"/>
            <a:ea typeface="+mn-ea"/>
            <a:cs typeface="+mn-cs"/>
          </a:endParaRPr>
        </a:p>
        <a:p>
          <a:r>
            <a:rPr lang="en-NZ" sz="900" b="0" i="0" u="none" strike="noStrike">
              <a:solidFill>
                <a:schemeClr val="bg1"/>
              </a:solidFill>
              <a:effectLst/>
              <a:latin typeface="+mn-lt"/>
              <a:ea typeface="+mn-ea"/>
              <a:cs typeface="+mn-cs"/>
            </a:rPr>
            <a:t>InCalf has been adapted for NZ farming systems from the original programme developed by Dairy Australia.</a:t>
          </a:r>
          <a:r>
            <a:rPr lang="en-NZ" sz="900">
              <a:solidFill>
                <a:schemeClr val="bg1"/>
              </a:solidFill>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857250</xdr:colOff>
      <xdr:row>46</xdr:row>
      <xdr:rowOff>47625</xdr:rowOff>
    </xdr:from>
    <xdr:to>
      <xdr:col>2</xdr:col>
      <xdr:colOff>1758948</xdr:colOff>
      <xdr:row>50</xdr:row>
      <xdr:rowOff>0</xdr:rowOff>
    </xdr:to>
    <xdr:grpSp>
      <xdr:nvGrpSpPr>
        <xdr:cNvPr id="7" name="Group 6">
          <a:extLst>
            <a:ext uri="{FF2B5EF4-FFF2-40B4-BE49-F238E27FC236}">
              <a16:creationId xmlns:a16="http://schemas.microsoft.com/office/drawing/2014/main" id="{ABB53204-3EA0-4C81-980C-1BAB8FC82E9E}"/>
            </a:ext>
          </a:extLst>
        </xdr:cNvPr>
        <xdr:cNvGrpSpPr/>
      </xdr:nvGrpSpPr>
      <xdr:grpSpPr>
        <a:xfrm>
          <a:off x="6619875" y="13093700"/>
          <a:ext cx="2562223" cy="679450"/>
          <a:chOff x="4629150" y="9553575"/>
          <a:chExt cx="2914648" cy="707143"/>
        </a:xfrm>
      </xdr:grpSpPr>
      <xdr:pic>
        <xdr:nvPicPr>
          <xdr:cNvPr id="8" name="InCalf logo">
            <a:extLst>
              <a:ext uri="{FF2B5EF4-FFF2-40B4-BE49-F238E27FC236}">
                <a16:creationId xmlns:a16="http://schemas.microsoft.com/office/drawing/2014/main" id="{359D0695-B41B-4E78-AAAA-FAF8D62D6F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9150" y="9553575"/>
            <a:ext cx="707143" cy="707143"/>
          </a:xfrm>
          <a:prstGeom prst="rect">
            <a:avLst/>
          </a:prstGeom>
        </xdr:spPr>
      </xdr:pic>
      <xdr:pic>
        <xdr:nvPicPr>
          <xdr:cNvPr id="9" name="DairyNZ logo (reverse)">
            <a:extLst>
              <a:ext uri="{FF2B5EF4-FFF2-40B4-BE49-F238E27FC236}">
                <a16:creationId xmlns:a16="http://schemas.microsoft.com/office/drawing/2014/main" id="{76CFDC56-1C89-4F08-A805-751DEE06D43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05475" y="9610725"/>
            <a:ext cx="1838323" cy="542925"/>
          </a:xfrm>
          <a:prstGeom prst="rect">
            <a:avLst/>
          </a:prstGeom>
        </xdr:spPr>
      </xdr:pic>
    </xdr:grpSp>
    <xdr:clientData/>
  </xdr:twoCellAnchor>
  <xdr:twoCellAnchor editAs="oneCell">
    <xdr:from>
      <xdr:col>2</xdr:col>
      <xdr:colOff>1343025</xdr:colOff>
      <xdr:row>0</xdr:row>
      <xdr:rowOff>95250</xdr:rowOff>
    </xdr:from>
    <xdr:to>
      <xdr:col>2</xdr:col>
      <xdr:colOff>1843654</xdr:colOff>
      <xdr:row>0</xdr:row>
      <xdr:rowOff>614583</xdr:rowOff>
    </xdr:to>
    <xdr:pic>
      <xdr:nvPicPr>
        <xdr:cNvPr id="5" name="Picture 4">
          <a:extLst>
            <a:ext uri="{FF2B5EF4-FFF2-40B4-BE49-F238E27FC236}">
              <a16:creationId xmlns:a16="http://schemas.microsoft.com/office/drawing/2014/main" id="{1E00D4AC-F161-4F81-9177-3645084ECF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63000" y="95250"/>
          <a:ext cx="500629" cy="519333"/>
        </a:xfrm>
        <a:prstGeom prst="rect">
          <a:avLst/>
        </a:prstGeom>
      </xdr:spPr>
    </xdr:pic>
    <xdr:clientData/>
  </xdr:twoCellAnchor>
  <xdr:twoCellAnchor>
    <xdr:from>
      <xdr:col>0</xdr:col>
      <xdr:colOff>57150</xdr:colOff>
      <xdr:row>41</xdr:row>
      <xdr:rowOff>38100</xdr:rowOff>
    </xdr:from>
    <xdr:to>
      <xdr:col>2</xdr:col>
      <xdr:colOff>1905000</xdr:colOff>
      <xdr:row>46</xdr:row>
      <xdr:rowOff>28575</xdr:rowOff>
    </xdr:to>
    <xdr:sp macro="" textlink="">
      <xdr:nvSpPr>
        <xdr:cNvPr id="10" name="TextBox 9">
          <a:extLst>
            <a:ext uri="{FF2B5EF4-FFF2-40B4-BE49-F238E27FC236}">
              <a16:creationId xmlns:a16="http://schemas.microsoft.com/office/drawing/2014/main" id="{6803F57A-A935-4811-AF67-3F845AA0648C}"/>
            </a:ext>
          </a:extLst>
        </xdr:cNvPr>
        <xdr:cNvSpPr txBox="1"/>
      </xdr:nvSpPr>
      <xdr:spPr>
        <a:xfrm>
          <a:off x="57150" y="12963525"/>
          <a:ext cx="9267825"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800" b="0" i="1" u="none" strike="noStrike">
              <a:solidFill>
                <a:sysClr val="windowText" lastClr="000000"/>
              </a:solidFill>
              <a:effectLst/>
              <a:latin typeface="+mn-lt"/>
              <a:ea typeface="+mn-ea"/>
              <a:cs typeface="+mn-cs"/>
            </a:rPr>
            <a:t>Disclaimer: DairyNZ ("DairyNZ, "we", "our")</a:t>
          </a:r>
          <a:r>
            <a:rPr lang="en-NZ" sz="800" b="0" i="1" u="none" strike="noStrike" baseline="0">
              <a:solidFill>
                <a:sysClr val="windowText" lastClr="000000"/>
              </a:solidFill>
              <a:effectLst/>
              <a:latin typeface="+mn-lt"/>
              <a:ea typeface="+mn-ea"/>
              <a:cs typeface="+mn-cs"/>
            </a:rPr>
            <a:t> endeavours to ensure that the information in this publication is accurate and current. However, we do not accept liability for any error or omission. The information that appears in this publication is intended to provide the best possible farm management practises, systems and advice that DairyNZ has access to. It may however, be subject to change at any time without notice. DairyNZ takes no responsibility whatsoever for the currency and/or accuracy of this information, its completeness or fitness for purpose.</a:t>
          </a:r>
          <a:endParaRPr lang="en-NZ" sz="800" i="1">
            <a:solidFill>
              <a:sysClr val="windowText" lastClr="000000"/>
            </a:solidFill>
          </a:endParaRPr>
        </a:p>
      </xdr:txBody>
    </xdr:sp>
    <xdr:clientData/>
  </xdr:twoCellAnchor>
  <xdr:twoCellAnchor>
    <xdr:from>
      <xdr:col>0</xdr:col>
      <xdr:colOff>66675</xdr:colOff>
      <xdr:row>46</xdr:row>
      <xdr:rowOff>85725</xdr:rowOff>
    </xdr:from>
    <xdr:to>
      <xdr:col>0</xdr:col>
      <xdr:colOff>4273550</xdr:colOff>
      <xdr:row>49</xdr:row>
      <xdr:rowOff>117475</xdr:rowOff>
    </xdr:to>
    <xdr:sp macro="" textlink="">
      <xdr:nvSpPr>
        <xdr:cNvPr id="11" name="TextBox 10">
          <a:extLst>
            <a:ext uri="{FF2B5EF4-FFF2-40B4-BE49-F238E27FC236}">
              <a16:creationId xmlns:a16="http://schemas.microsoft.com/office/drawing/2014/main" id="{2851E30C-A6DD-4185-A24A-A6D06EC72A7D}"/>
            </a:ext>
          </a:extLst>
        </xdr:cNvPr>
        <xdr:cNvSpPr txBox="1"/>
      </xdr:nvSpPr>
      <xdr:spPr>
        <a:xfrm>
          <a:off x="66675" y="13725525"/>
          <a:ext cx="4206875" cy="574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900" b="0" i="0" u="none" strike="noStrike">
              <a:solidFill>
                <a:schemeClr val="bg1"/>
              </a:solidFill>
              <a:effectLst/>
              <a:latin typeface="+mn-lt"/>
              <a:ea typeface="+mn-ea"/>
              <a:cs typeface="+mn-cs"/>
            </a:rPr>
            <a:t>This work has been funded by the NZ dairy industry through the DairyNZ levy.</a:t>
          </a:r>
          <a:r>
            <a:rPr lang="en-NZ" sz="900">
              <a:solidFill>
                <a:schemeClr val="bg1"/>
              </a:solidFill>
            </a:rPr>
            <a:t> </a:t>
          </a:r>
        </a:p>
        <a:p>
          <a:endParaRPr lang="en-NZ" sz="200" b="0" i="0" u="none" strike="noStrike">
            <a:solidFill>
              <a:schemeClr val="bg1"/>
            </a:solidFill>
            <a:effectLst/>
            <a:latin typeface="+mn-lt"/>
            <a:ea typeface="+mn-ea"/>
            <a:cs typeface="+mn-cs"/>
          </a:endParaRPr>
        </a:p>
        <a:p>
          <a:r>
            <a:rPr lang="en-NZ" sz="900" b="0" i="0" u="none" strike="noStrike">
              <a:solidFill>
                <a:schemeClr val="bg1"/>
              </a:solidFill>
              <a:effectLst/>
              <a:latin typeface="+mn-lt"/>
              <a:ea typeface="+mn-ea"/>
              <a:cs typeface="+mn-cs"/>
            </a:rPr>
            <a:t>InCalf has been adapted for NZ farming systems from the original programme developed by Dairy Australia.</a:t>
          </a:r>
          <a:r>
            <a:rPr lang="en-NZ" sz="900">
              <a:solidFill>
                <a:schemeClr val="bg1"/>
              </a:solidFill>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863600</xdr:colOff>
      <xdr:row>45</xdr:row>
      <xdr:rowOff>133350</xdr:rowOff>
    </xdr:from>
    <xdr:to>
      <xdr:col>6</xdr:col>
      <xdr:colOff>1393823</xdr:colOff>
      <xdr:row>48</xdr:row>
      <xdr:rowOff>120650</xdr:rowOff>
    </xdr:to>
    <xdr:grpSp>
      <xdr:nvGrpSpPr>
        <xdr:cNvPr id="4" name="Group 3">
          <a:extLst>
            <a:ext uri="{FF2B5EF4-FFF2-40B4-BE49-F238E27FC236}">
              <a16:creationId xmlns:a16="http://schemas.microsoft.com/office/drawing/2014/main" id="{82C050FC-D28B-4E02-B450-4DD3953849C7}"/>
            </a:ext>
          </a:extLst>
        </xdr:cNvPr>
        <xdr:cNvGrpSpPr/>
      </xdr:nvGrpSpPr>
      <xdr:grpSpPr>
        <a:xfrm>
          <a:off x="6829425" y="8963025"/>
          <a:ext cx="2613023" cy="733425"/>
          <a:chOff x="4629150" y="9553575"/>
          <a:chExt cx="2914648" cy="707143"/>
        </a:xfrm>
      </xdr:grpSpPr>
      <xdr:pic>
        <xdr:nvPicPr>
          <xdr:cNvPr id="5" name="InCalf logo">
            <a:extLst>
              <a:ext uri="{FF2B5EF4-FFF2-40B4-BE49-F238E27FC236}">
                <a16:creationId xmlns:a16="http://schemas.microsoft.com/office/drawing/2014/main" id="{89144389-6960-40ED-AE4A-D15C0DB45A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9150" y="9553575"/>
            <a:ext cx="707143" cy="707143"/>
          </a:xfrm>
          <a:prstGeom prst="rect">
            <a:avLst/>
          </a:prstGeom>
        </xdr:spPr>
      </xdr:pic>
      <xdr:pic>
        <xdr:nvPicPr>
          <xdr:cNvPr id="6" name="DairyNZ logo (reverse)">
            <a:extLst>
              <a:ext uri="{FF2B5EF4-FFF2-40B4-BE49-F238E27FC236}">
                <a16:creationId xmlns:a16="http://schemas.microsoft.com/office/drawing/2014/main" id="{1F0C44C5-CB84-46C9-999C-F91611B657A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05475" y="9610725"/>
            <a:ext cx="1838323" cy="542925"/>
          </a:xfrm>
          <a:prstGeom prst="rect">
            <a:avLst/>
          </a:prstGeom>
        </xdr:spPr>
      </xdr:pic>
    </xdr:grpSp>
    <xdr:clientData/>
  </xdr:twoCellAnchor>
  <xdr:twoCellAnchor editAs="oneCell">
    <xdr:from>
      <xdr:col>6</xdr:col>
      <xdr:colOff>409575</xdr:colOff>
      <xdr:row>0</xdr:row>
      <xdr:rowOff>133350</xdr:rowOff>
    </xdr:from>
    <xdr:to>
      <xdr:col>6</xdr:col>
      <xdr:colOff>916554</xdr:colOff>
      <xdr:row>0</xdr:row>
      <xdr:rowOff>659033</xdr:rowOff>
    </xdr:to>
    <xdr:pic>
      <xdr:nvPicPr>
        <xdr:cNvPr id="7" name="Picture 6">
          <a:extLst>
            <a:ext uri="{FF2B5EF4-FFF2-40B4-BE49-F238E27FC236}">
              <a16:creationId xmlns:a16="http://schemas.microsoft.com/office/drawing/2014/main" id="{70CBE5C9-F197-40EE-8E46-CF30FD86E86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91575" y="133350"/>
          <a:ext cx="506979" cy="522508"/>
        </a:xfrm>
        <a:prstGeom prst="rect">
          <a:avLst/>
        </a:prstGeom>
      </xdr:spPr>
    </xdr:pic>
    <xdr:clientData/>
  </xdr:twoCellAnchor>
  <xdr:twoCellAnchor>
    <xdr:from>
      <xdr:col>0</xdr:col>
      <xdr:colOff>38100</xdr:colOff>
      <xdr:row>29</xdr:row>
      <xdr:rowOff>285750</xdr:rowOff>
    </xdr:from>
    <xdr:to>
      <xdr:col>6</xdr:col>
      <xdr:colOff>1543050</xdr:colOff>
      <xdr:row>44</xdr:row>
      <xdr:rowOff>171450</xdr:rowOff>
    </xdr:to>
    <xdr:sp macro="" textlink="">
      <xdr:nvSpPr>
        <xdr:cNvPr id="9" name="TextBox 8">
          <a:extLst>
            <a:ext uri="{FF2B5EF4-FFF2-40B4-BE49-F238E27FC236}">
              <a16:creationId xmlns:a16="http://schemas.microsoft.com/office/drawing/2014/main" id="{B1FEA058-1936-4F2B-A9FA-F9B3228EC60E}"/>
            </a:ext>
          </a:extLst>
        </xdr:cNvPr>
        <xdr:cNvSpPr txBox="1"/>
      </xdr:nvSpPr>
      <xdr:spPr>
        <a:xfrm>
          <a:off x="38100" y="8296275"/>
          <a:ext cx="9886950"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800" b="0" i="1" u="none" strike="noStrike">
              <a:solidFill>
                <a:sysClr val="windowText" lastClr="000000"/>
              </a:solidFill>
              <a:effectLst/>
              <a:latin typeface="+mn-lt"/>
              <a:ea typeface="+mn-ea"/>
              <a:cs typeface="+mn-cs"/>
            </a:rPr>
            <a:t>Disclaimer: DairyNZ ("DairyNZ, "we", "our")</a:t>
          </a:r>
          <a:r>
            <a:rPr lang="en-NZ" sz="800" b="0" i="1" u="none" strike="noStrike" baseline="0">
              <a:solidFill>
                <a:sysClr val="windowText" lastClr="000000"/>
              </a:solidFill>
              <a:effectLst/>
              <a:latin typeface="+mn-lt"/>
              <a:ea typeface="+mn-ea"/>
              <a:cs typeface="+mn-cs"/>
            </a:rPr>
            <a:t> endeavours to ensure that the information in this publication is accurate and current. However, we do not accept liability for any error or omission. The information that appears in this publication is intended to provide the best possible farm management practises, systems and advice that DairyNZ has access to. It may however, be subject to change at any time without notice. DairyNZ takes no responsibility whatsoever for the currency and/or accuracy of this information, its completeness or fitness for purpose.</a:t>
          </a:r>
          <a:endParaRPr lang="en-NZ" sz="800" i="1">
            <a:solidFill>
              <a:sysClr val="windowText" lastClr="000000"/>
            </a:solidFill>
          </a:endParaRPr>
        </a:p>
      </xdr:txBody>
    </xdr:sp>
    <xdr:clientData/>
  </xdr:twoCellAnchor>
  <xdr:twoCellAnchor>
    <xdr:from>
      <xdr:col>0</xdr:col>
      <xdr:colOff>95250</xdr:colOff>
      <xdr:row>45</xdr:row>
      <xdr:rowOff>104775</xdr:rowOff>
    </xdr:from>
    <xdr:to>
      <xdr:col>0</xdr:col>
      <xdr:colOff>4302125</xdr:colOff>
      <xdr:row>48</xdr:row>
      <xdr:rowOff>136525</xdr:rowOff>
    </xdr:to>
    <xdr:sp macro="" textlink="">
      <xdr:nvSpPr>
        <xdr:cNvPr id="10" name="TextBox 9">
          <a:extLst>
            <a:ext uri="{FF2B5EF4-FFF2-40B4-BE49-F238E27FC236}">
              <a16:creationId xmlns:a16="http://schemas.microsoft.com/office/drawing/2014/main" id="{20423D94-BC78-4172-ABA1-B5C0B0FFFAA4}"/>
            </a:ext>
          </a:extLst>
        </xdr:cNvPr>
        <xdr:cNvSpPr txBox="1"/>
      </xdr:nvSpPr>
      <xdr:spPr>
        <a:xfrm>
          <a:off x="95250" y="14611350"/>
          <a:ext cx="4206875" cy="574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900" b="0" i="0" u="none" strike="noStrike">
              <a:solidFill>
                <a:schemeClr val="bg1"/>
              </a:solidFill>
              <a:effectLst/>
              <a:latin typeface="+mn-lt"/>
              <a:ea typeface="+mn-ea"/>
              <a:cs typeface="+mn-cs"/>
            </a:rPr>
            <a:t>This work has been funded by the NZ dairy industry through the DairyNZ levy.</a:t>
          </a:r>
          <a:r>
            <a:rPr lang="en-NZ" sz="900">
              <a:solidFill>
                <a:schemeClr val="bg1"/>
              </a:solidFill>
            </a:rPr>
            <a:t> </a:t>
          </a:r>
        </a:p>
        <a:p>
          <a:endParaRPr lang="en-NZ" sz="200" b="0" i="0" u="none" strike="noStrike">
            <a:solidFill>
              <a:schemeClr val="bg1"/>
            </a:solidFill>
            <a:effectLst/>
            <a:latin typeface="+mn-lt"/>
            <a:ea typeface="+mn-ea"/>
            <a:cs typeface="+mn-cs"/>
          </a:endParaRPr>
        </a:p>
        <a:p>
          <a:r>
            <a:rPr lang="en-NZ" sz="900" b="0" i="0" u="none" strike="noStrike">
              <a:solidFill>
                <a:schemeClr val="bg1"/>
              </a:solidFill>
              <a:effectLst/>
              <a:latin typeface="+mn-lt"/>
              <a:ea typeface="+mn-ea"/>
              <a:cs typeface="+mn-cs"/>
            </a:rPr>
            <a:t>InCalf has been adapted for NZ farming systems from the original programme developed by Dairy Australia.</a:t>
          </a:r>
          <a:r>
            <a:rPr lang="en-NZ" sz="900">
              <a:solidFill>
                <a:schemeClr val="bg1"/>
              </a:solidFill>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209550</xdr:colOff>
      <xdr:row>53</xdr:row>
      <xdr:rowOff>47625</xdr:rowOff>
    </xdr:from>
    <xdr:to>
      <xdr:col>2</xdr:col>
      <xdr:colOff>2835273</xdr:colOff>
      <xdr:row>57</xdr:row>
      <xdr:rowOff>0</xdr:rowOff>
    </xdr:to>
    <xdr:grpSp>
      <xdr:nvGrpSpPr>
        <xdr:cNvPr id="7" name="Group 6">
          <a:extLst>
            <a:ext uri="{FF2B5EF4-FFF2-40B4-BE49-F238E27FC236}">
              <a16:creationId xmlns:a16="http://schemas.microsoft.com/office/drawing/2014/main" id="{19D611C4-CC68-4A84-9D1A-C26EF276D0E5}"/>
            </a:ext>
          </a:extLst>
        </xdr:cNvPr>
        <xdr:cNvGrpSpPr/>
      </xdr:nvGrpSpPr>
      <xdr:grpSpPr>
        <a:xfrm>
          <a:off x="7305675" y="15446375"/>
          <a:ext cx="2622548" cy="679450"/>
          <a:chOff x="4629150" y="9553575"/>
          <a:chExt cx="2914648" cy="707143"/>
        </a:xfrm>
      </xdr:grpSpPr>
      <xdr:pic>
        <xdr:nvPicPr>
          <xdr:cNvPr id="8" name="InCalf logo">
            <a:extLst>
              <a:ext uri="{FF2B5EF4-FFF2-40B4-BE49-F238E27FC236}">
                <a16:creationId xmlns:a16="http://schemas.microsoft.com/office/drawing/2014/main" id="{BEDC04C2-A264-4999-91B1-32A3016D5A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9150" y="9553575"/>
            <a:ext cx="707143" cy="707143"/>
          </a:xfrm>
          <a:prstGeom prst="rect">
            <a:avLst/>
          </a:prstGeom>
        </xdr:spPr>
      </xdr:pic>
      <xdr:pic>
        <xdr:nvPicPr>
          <xdr:cNvPr id="9" name="DairyNZ logo (reverse)">
            <a:extLst>
              <a:ext uri="{FF2B5EF4-FFF2-40B4-BE49-F238E27FC236}">
                <a16:creationId xmlns:a16="http://schemas.microsoft.com/office/drawing/2014/main" id="{B99224C4-B3D6-4324-9F02-F4DB64D1DA6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05475" y="9610725"/>
            <a:ext cx="1838323" cy="542925"/>
          </a:xfrm>
          <a:prstGeom prst="rect">
            <a:avLst/>
          </a:prstGeom>
        </xdr:spPr>
      </xdr:pic>
    </xdr:grpSp>
    <xdr:clientData/>
  </xdr:twoCellAnchor>
  <xdr:twoCellAnchor editAs="oneCell">
    <xdr:from>
      <xdr:col>2</xdr:col>
      <xdr:colOff>2447925</xdr:colOff>
      <xdr:row>0</xdr:row>
      <xdr:rowOff>104775</xdr:rowOff>
    </xdr:from>
    <xdr:to>
      <xdr:col>2</xdr:col>
      <xdr:colOff>2942204</xdr:colOff>
      <xdr:row>0</xdr:row>
      <xdr:rowOff>617758</xdr:rowOff>
    </xdr:to>
    <xdr:pic>
      <xdr:nvPicPr>
        <xdr:cNvPr id="10" name="Picture 9">
          <a:extLst>
            <a:ext uri="{FF2B5EF4-FFF2-40B4-BE49-F238E27FC236}">
              <a16:creationId xmlns:a16="http://schemas.microsoft.com/office/drawing/2014/main" id="{FEE238A4-46B2-4323-9E02-526D659F8EF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544050" y="104775"/>
          <a:ext cx="500629" cy="519333"/>
        </a:xfrm>
        <a:prstGeom prst="rect">
          <a:avLst/>
        </a:prstGeom>
      </xdr:spPr>
    </xdr:pic>
    <xdr:clientData/>
  </xdr:twoCellAnchor>
  <xdr:twoCellAnchor>
    <xdr:from>
      <xdr:col>0</xdr:col>
      <xdr:colOff>0</xdr:colOff>
      <xdr:row>49</xdr:row>
      <xdr:rowOff>361950</xdr:rowOff>
    </xdr:from>
    <xdr:to>
      <xdr:col>2</xdr:col>
      <xdr:colOff>3038475</xdr:colOff>
      <xdr:row>53</xdr:row>
      <xdr:rowOff>133350</xdr:rowOff>
    </xdr:to>
    <xdr:sp macro="" textlink="">
      <xdr:nvSpPr>
        <xdr:cNvPr id="12" name="TextBox 11">
          <a:extLst>
            <a:ext uri="{FF2B5EF4-FFF2-40B4-BE49-F238E27FC236}">
              <a16:creationId xmlns:a16="http://schemas.microsoft.com/office/drawing/2014/main" id="{2DAAF69A-F129-490F-8E79-2D4FFB049FED}"/>
            </a:ext>
          </a:extLst>
        </xdr:cNvPr>
        <xdr:cNvSpPr txBox="1"/>
      </xdr:nvSpPr>
      <xdr:spPr>
        <a:xfrm>
          <a:off x="0" y="14458950"/>
          <a:ext cx="10134600"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800" b="0" i="1" u="none" strike="noStrike">
              <a:solidFill>
                <a:sysClr val="windowText" lastClr="000000"/>
              </a:solidFill>
              <a:effectLst/>
              <a:latin typeface="+mn-lt"/>
              <a:ea typeface="+mn-ea"/>
              <a:cs typeface="+mn-cs"/>
            </a:rPr>
            <a:t>Disclaimer: DairyNZ ("DairyNZ, "we", "our")</a:t>
          </a:r>
          <a:r>
            <a:rPr lang="en-NZ" sz="800" b="0" i="1" u="none" strike="noStrike" baseline="0">
              <a:solidFill>
                <a:sysClr val="windowText" lastClr="000000"/>
              </a:solidFill>
              <a:effectLst/>
              <a:latin typeface="+mn-lt"/>
              <a:ea typeface="+mn-ea"/>
              <a:cs typeface="+mn-cs"/>
            </a:rPr>
            <a:t> endeavours to ensure that the information in this publication is accurate and current. However, we do not accept liability for any error or omission. The information that appears in this publication is intended to provide the best possible farm management practises, systems and advice that DairyNZ has access to. It may however, be subject to change at any time without notice. DairyNZ takes no responsibility whatsoever for the currency and/or accuracy of this information, its completeness or fitness for purpose.</a:t>
          </a:r>
          <a:endParaRPr lang="en-NZ" sz="800" i="1">
            <a:solidFill>
              <a:sysClr val="windowText" lastClr="000000"/>
            </a:solidFill>
          </a:endParaRPr>
        </a:p>
      </xdr:txBody>
    </xdr:sp>
    <xdr:clientData/>
  </xdr:twoCellAnchor>
  <xdr:twoCellAnchor>
    <xdr:from>
      <xdr:col>0</xdr:col>
      <xdr:colOff>38100</xdr:colOff>
      <xdr:row>53</xdr:row>
      <xdr:rowOff>57150</xdr:rowOff>
    </xdr:from>
    <xdr:to>
      <xdr:col>0</xdr:col>
      <xdr:colOff>4244975</xdr:colOff>
      <xdr:row>56</xdr:row>
      <xdr:rowOff>88900</xdr:rowOff>
    </xdr:to>
    <xdr:sp macro="" textlink="">
      <xdr:nvSpPr>
        <xdr:cNvPr id="13" name="TextBox 12">
          <a:extLst>
            <a:ext uri="{FF2B5EF4-FFF2-40B4-BE49-F238E27FC236}">
              <a16:creationId xmlns:a16="http://schemas.microsoft.com/office/drawing/2014/main" id="{2310C34F-2483-4721-B4E9-C979E60A4A56}"/>
            </a:ext>
          </a:extLst>
        </xdr:cNvPr>
        <xdr:cNvSpPr txBox="1"/>
      </xdr:nvSpPr>
      <xdr:spPr>
        <a:xfrm>
          <a:off x="38100" y="15087600"/>
          <a:ext cx="4206875" cy="574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900" b="0" i="0" u="none" strike="noStrike">
              <a:solidFill>
                <a:schemeClr val="bg1"/>
              </a:solidFill>
              <a:effectLst/>
              <a:latin typeface="+mn-lt"/>
              <a:ea typeface="+mn-ea"/>
              <a:cs typeface="+mn-cs"/>
            </a:rPr>
            <a:t>This work has been funded by the NZ dairy industry through the DairyNZ levy.</a:t>
          </a:r>
          <a:r>
            <a:rPr lang="en-NZ" sz="900">
              <a:solidFill>
                <a:schemeClr val="bg1"/>
              </a:solidFill>
            </a:rPr>
            <a:t> </a:t>
          </a:r>
        </a:p>
        <a:p>
          <a:endParaRPr lang="en-NZ" sz="200" b="0" i="0" u="none" strike="noStrike">
            <a:solidFill>
              <a:schemeClr val="bg1"/>
            </a:solidFill>
            <a:effectLst/>
            <a:latin typeface="+mn-lt"/>
            <a:ea typeface="+mn-ea"/>
            <a:cs typeface="+mn-cs"/>
          </a:endParaRPr>
        </a:p>
        <a:p>
          <a:r>
            <a:rPr lang="en-NZ" sz="900" b="0" i="0" u="none" strike="noStrike">
              <a:solidFill>
                <a:schemeClr val="bg1"/>
              </a:solidFill>
              <a:effectLst/>
              <a:latin typeface="+mn-lt"/>
              <a:ea typeface="+mn-ea"/>
              <a:cs typeface="+mn-cs"/>
            </a:rPr>
            <a:t>InCalf has been adapted for NZ farming systems from the original programme developed by Dairy Australia.</a:t>
          </a:r>
          <a:r>
            <a:rPr lang="en-NZ" sz="900">
              <a:solidFill>
                <a:schemeClr val="bg1"/>
              </a:solidFill>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1076326</xdr:colOff>
      <xdr:row>47</xdr:row>
      <xdr:rowOff>47625</xdr:rowOff>
    </xdr:from>
    <xdr:to>
      <xdr:col>4</xdr:col>
      <xdr:colOff>1120774</xdr:colOff>
      <xdr:row>51</xdr:row>
      <xdr:rowOff>0</xdr:rowOff>
    </xdr:to>
    <xdr:grpSp>
      <xdr:nvGrpSpPr>
        <xdr:cNvPr id="4" name="Group 3">
          <a:extLst>
            <a:ext uri="{FF2B5EF4-FFF2-40B4-BE49-F238E27FC236}">
              <a16:creationId xmlns:a16="http://schemas.microsoft.com/office/drawing/2014/main" id="{88914D74-447B-470E-8B1E-62CB6715F916}"/>
            </a:ext>
          </a:extLst>
        </xdr:cNvPr>
        <xdr:cNvGrpSpPr/>
      </xdr:nvGrpSpPr>
      <xdr:grpSpPr>
        <a:xfrm>
          <a:off x="6492876" y="11960225"/>
          <a:ext cx="2711448" cy="679450"/>
          <a:chOff x="4629150" y="9553575"/>
          <a:chExt cx="2914648" cy="707143"/>
        </a:xfrm>
      </xdr:grpSpPr>
      <xdr:pic>
        <xdr:nvPicPr>
          <xdr:cNvPr id="5" name="InCalf logo">
            <a:extLst>
              <a:ext uri="{FF2B5EF4-FFF2-40B4-BE49-F238E27FC236}">
                <a16:creationId xmlns:a16="http://schemas.microsoft.com/office/drawing/2014/main" id="{1D22EBAC-8FCE-4563-8C25-7FECCEC1CF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9150" y="9553575"/>
            <a:ext cx="707143" cy="707143"/>
          </a:xfrm>
          <a:prstGeom prst="rect">
            <a:avLst/>
          </a:prstGeom>
        </xdr:spPr>
      </xdr:pic>
      <xdr:pic>
        <xdr:nvPicPr>
          <xdr:cNvPr id="6" name="DairyNZ logo (reverse)">
            <a:extLst>
              <a:ext uri="{FF2B5EF4-FFF2-40B4-BE49-F238E27FC236}">
                <a16:creationId xmlns:a16="http://schemas.microsoft.com/office/drawing/2014/main" id="{84F1D7FC-685E-415E-A4B0-5B7C52366C2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05475" y="9610725"/>
            <a:ext cx="1838323" cy="542925"/>
          </a:xfrm>
          <a:prstGeom prst="rect">
            <a:avLst/>
          </a:prstGeom>
        </xdr:spPr>
      </xdr:pic>
    </xdr:grpSp>
    <xdr:clientData/>
  </xdr:twoCellAnchor>
  <xdr:twoCellAnchor editAs="oneCell">
    <xdr:from>
      <xdr:col>4</xdr:col>
      <xdr:colOff>657225</xdr:colOff>
      <xdr:row>0</xdr:row>
      <xdr:rowOff>104775</xdr:rowOff>
    </xdr:from>
    <xdr:to>
      <xdr:col>4</xdr:col>
      <xdr:colOff>1154679</xdr:colOff>
      <xdr:row>0</xdr:row>
      <xdr:rowOff>620933</xdr:rowOff>
    </xdr:to>
    <xdr:pic>
      <xdr:nvPicPr>
        <xdr:cNvPr id="7" name="Picture 6">
          <a:extLst>
            <a:ext uri="{FF2B5EF4-FFF2-40B4-BE49-F238E27FC236}">
              <a16:creationId xmlns:a16="http://schemas.microsoft.com/office/drawing/2014/main" id="{B5F11F2C-E77D-4B26-BD82-498A90DD0D1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43950" y="104775"/>
          <a:ext cx="500629" cy="519333"/>
        </a:xfrm>
        <a:prstGeom prst="rect">
          <a:avLst/>
        </a:prstGeom>
      </xdr:spPr>
    </xdr:pic>
    <xdr:clientData/>
  </xdr:twoCellAnchor>
  <xdr:twoCellAnchor>
    <xdr:from>
      <xdr:col>0</xdr:col>
      <xdr:colOff>19051</xdr:colOff>
      <xdr:row>44</xdr:row>
      <xdr:rowOff>47625</xdr:rowOff>
    </xdr:from>
    <xdr:to>
      <xdr:col>4</xdr:col>
      <xdr:colOff>1323976</xdr:colOff>
      <xdr:row>47</xdr:row>
      <xdr:rowOff>9525</xdr:rowOff>
    </xdr:to>
    <xdr:sp macro="" textlink="">
      <xdr:nvSpPr>
        <xdr:cNvPr id="9" name="TextBox 8">
          <a:extLst>
            <a:ext uri="{FF2B5EF4-FFF2-40B4-BE49-F238E27FC236}">
              <a16:creationId xmlns:a16="http://schemas.microsoft.com/office/drawing/2014/main" id="{39EF465F-92B0-4BD7-888E-F439EDBEDF7F}"/>
            </a:ext>
          </a:extLst>
        </xdr:cNvPr>
        <xdr:cNvSpPr txBox="1"/>
      </xdr:nvSpPr>
      <xdr:spPr>
        <a:xfrm>
          <a:off x="19051" y="12877800"/>
          <a:ext cx="9391650"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800" b="0" i="1" u="none" strike="noStrike">
              <a:solidFill>
                <a:sysClr val="windowText" lastClr="000000"/>
              </a:solidFill>
              <a:effectLst/>
              <a:latin typeface="+mn-lt"/>
              <a:ea typeface="+mn-ea"/>
              <a:cs typeface="+mn-cs"/>
            </a:rPr>
            <a:t>Disclaimer: DairyNZ ("DairyNZ, "we", "our")</a:t>
          </a:r>
          <a:r>
            <a:rPr lang="en-NZ" sz="800" b="0" i="1" u="none" strike="noStrike" baseline="0">
              <a:solidFill>
                <a:sysClr val="windowText" lastClr="000000"/>
              </a:solidFill>
              <a:effectLst/>
              <a:latin typeface="+mn-lt"/>
              <a:ea typeface="+mn-ea"/>
              <a:cs typeface="+mn-cs"/>
            </a:rPr>
            <a:t> endeavours to ensure that the information in this publication is accurate and current. However, we do not accept liability for any error or omission. The information that appears in this publication is intended to provide the best possible farm management practises, systems and advice that DairyNZ has access to. It may however, be subject to change at any time without notice. DairyNZ takes no responsibility whatsoever for the currency and/or accuracy of this information, its completeness or fitness for purpose.</a:t>
          </a:r>
          <a:endParaRPr lang="en-NZ" sz="800" i="1">
            <a:solidFill>
              <a:sysClr val="windowText" lastClr="000000"/>
            </a:solidFill>
          </a:endParaRPr>
        </a:p>
      </xdr:txBody>
    </xdr:sp>
    <xdr:clientData/>
  </xdr:twoCellAnchor>
  <xdr:twoCellAnchor>
    <xdr:from>
      <xdr:col>0</xdr:col>
      <xdr:colOff>57150</xdr:colOff>
      <xdr:row>47</xdr:row>
      <xdr:rowOff>85725</xdr:rowOff>
    </xdr:from>
    <xdr:to>
      <xdr:col>1</xdr:col>
      <xdr:colOff>177800</xdr:colOff>
      <xdr:row>50</xdr:row>
      <xdr:rowOff>117475</xdr:rowOff>
    </xdr:to>
    <xdr:sp macro="" textlink="">
      <xdr:nvSpPr>
        <xdr:cNvPr id="10" name="TextBox 9">
          <a:extLst>
            <a:ext uri="{FF2B5EF4-FFF2-40B4-BE49-F238E27FC236}">
              <a16:creationId xmlns:a16="http://schemas.microsoft.com/office/drawing/2014/main" id="{A7A8D520-3233-4A4C-88E7-E99F6DDD768B}"/>
            </a:ext>
          </a:extLst>
        </xdr:cNvPr>
        <xdr:cNvSpPr txBox="1"/>
      </xdr:nvSpPr>
      <xdr:spPr>
        <a:xfrm>
          <a:off x="57150" y="13658850"/>
          <a:ext cx="4206875" cy="574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900" b="0" i="0" u="none" strike="noStrike">
              <a:solidFill>
                <a:schemeClr val="bg1"/>
              </a:solidFill>
              <a:effectLst/>
              <a:latin typeface="+mn-lt"/>
              <a:ea typeface="+mn-ea"/>
              <a:cs typeface="+mn-cs"/>
            </a:rPr>
            <a:t>This work has been funded by the NZ dairy industry through the DairyNZ levy.</a:t>
          </a:r>
          <a:r>
            <a:rPr lang="en-NZ" sz="900">
              <a:solidFill>
                <a:schemeClr val="bg1"/>
              </a:solidFill>
            </a:rPr>
            <a:t> </a:t>
          </a:r>
        </a:p>
        <a:p>
          <a:endParaRPr lang="en-NZ" sz="200" b="0" i="0" u="none" strike="noStrike">
            <a:solidFill>
              <a:schemeClr val="bg1"/>
            </a:solidFill>
            <a:effectLst/>
            <a:latin typeface="+mn-lt"/>
            <a:ea typeface="+mn-ea"/>
            <a:cs typeface="+mn-cs"/>
          </a:endParaRPr>
        </a:p>
        <a:p>
          <a:r>
            <a:rPr lang="en-NZ" sz="900" b="0" i="0" u="none" strike="noStrike">
              <a:solidFill>
                <a:schemeClr val="bg1"/>
              </a:solidFill>
              <a:effectLst/>
              <a:latin typeface="+mn-lt"/>
              <a:ea typeface="+mn-ea"/>
              <a:cs typeface="+mn-cs"/>
            </a:rPr>
            <a:t>InCalf has been adapted for NZ farming systems from the original programme developed by Dairy Australia.</a:t>
          </a:r>
          <a:r>
            <a:rPr lang="en-NZ" sz="900">
              <a:solidFill>
                <a:schemeClr val="bg1"/>
              </a:solidFill>
            </a:rPr>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G11" totalsRowShown="0" headerRowDxfId="7" dataDxfId="6">
  <tableColumns count="6">
    <tableColumn id="1" xr3:uid="{00000000-0010-0000-0000-000001000000}" name="Column1" dataDxfId="5"/>
    <tableColumn id="2" xr3:uid="{00000000-0010-0000-0000-000002000000}" name="6-Week In-Calf Rate Gap" dataDxfId="4"/>
    <tableColumn id="3" xr3:uid="{00000000-0010-0000-0000-000003000000}" name="6-Week In-Calf Rate Gap($)" dataDxfId="3" dataCellStyle="Currency"/>
    <tableColumn id="4" xr3:uid="{00000000-0010-0000-0000-000004000000}" name="Not-In-Calf Rate Gap" dataDxfId="2"/>
    <tableColumn id="5" xr3:uid="{00000000-0010-0000-0000-000005000000}" name="Not-In-Calf Rate Gap($)" dataDxfId="1" dataCellStyle="Currency"/>
    <tableColumn id="6" xr3:uid="{00000000-0010-0000-0000-000006000000}" name="Total InCalf Economic Gap"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Facts &amp; Figures">
      <a:dk1>
        <a:sysClr val="windowText" lastClr="000000"/>
      </a:dk1>
      <a:lt1>
        <a:sysClr val="window" lastClr="FFFFFF"/>
      </a:lt1>
      <a:dk2>
        <a:srgbClr val="444D3E"/>
      </a:dk2>
      <a:lt2>
        <a:srgbClr val="E36F1E"/>
      </a:lt2>
      <a:accent1>
        <a:srgbClr val="D7AD08"/>
      </a:accent1>
      <a:accent2>
        <a:srgbClr val="A8B400"/>
      </a:accent2>
      <a:accent3>
        <a:srgbClr val="7AC143"/>
      </a:accent3>
      <a:accent4>
        <a:srgbClr val="589199"/>
      </a:accent4>
      <a:accent5>
        <a:srgbClr val="3D579A"/>
      </a:accent5>
      <a:accent6>
        <a:srgbClr val="8E5BA6"/>
      </a:accent6>
      <a:hlink>
        <a:srgbClr val="0070C0"/>
      </a:hlink>
      <a:folHlink>
        <a:srgbClr val="00B0F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dairynz.co.nz/animal/reproduction-and-mating/incalf-programm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1"/>
  <sheetViews>
    <sheetView zoomScale="110" zoomScaleNormal="110" zoomScalePageLayoutView="70" workbookViewId="0">
      <selection activeCell="M51" sqref="M51"/>
    </sheetView>
  </sheetViews>
  <sheetFormatPr defaultColWidth="0" defaultRowHeight="14" zeroHeight="1" x14ac:dyDescent="0.3"/>
  <cols>
    <col min="1" max="10" width="9" customWidth="1"/>
    <col min="11" max="11" width="11.25" customWidth="1"/>
    <col min="12" max="13" width="9" customWidth="1"/>
    <col min="14" max="16384" width="9" hidden="1"/>
  </cols>
  <sheetData>
    <row r="1" spans="1:13" ht="60" customHeight="1" x14ac:dyDescent="0.3">
      <c r="A1" s="32" t="s">
        <v>0</v>
      </c>
      <c r="B1" s="23"/>
      <c r="C1" s="23"/>
      <c r="D1" s="23"/>
      <c r="E1" s="23"/>
      <c r="F1" s="23"/>
      <c r="G1" s="23"/>
      <c r="H1" s="23"/>
      <c r="I1" s="23"/>
      <c r="J1" s="23"/>
      <c r="K1" s="23"/>
      <c r="L1" s="23"/>
      <c r="M1" s="23"/>
    </row>
    <row r="2" spans="1:13" ht="14.25" customHeight="1" x14ac:dyDescent="0.5">
      <c r="A2" s="28"/>
      <c r="B2" s="28"/>
      <c r="C2" s="28"/>
      <c r="D2" s="28"/>
      <c r="E2" s="28"/>
      <c r="F2" s="28"/>
      <c r="G2" s="28"/>
      <c r="H2" s="28"/>
      <c r="I2" s="28"/>
      <c r="J2" s="28"/>
      <c r="K2" s="28"/>
      <c r="L2" s="24"/>
      <c r="M2" s="24"/>
    </row>
    <row r="3" spans="1:13" x14ac:dyDescent="0.3">
      <c r="A3" s="25" t="s">
        <v>1</v>
      </c>
      <c r="B3" s="24"/>
      <c r="C3" s="24"/>
      <c r="D3" s="24"/>
      <c r="E3" s="24"/>
      <c r="F3" s="24"/>
      <c r="G3" s="24"/>
      <c r="H3" s="24"/>
      <c r="I3" s="24"/>
      <c r="J3" s="24"/>
      <c r="K3" s="24"/>
      <c r="L3" s="24"/>
      <c r="M3" s="24"/>
    </row>
    <row r="4" spans="1:13" x14ac:dyDescent="0.3">
      <c r="A4" s="25"/>
      <c r="B4" s="24"/>
      <c r="C4" s="24"/>
      <c r="D4" s="24"/>
      <c r="E4" s="24"/>
      <c r="F4" s="24"/>
      <c r="G4" s="24"/>
      <c r="H4" s="24"/>
      <c r="I4" s="24"/>
      <c r="J4" s="24"/>
      <c r="K4" s="24"/>
      <c r="L4" s="24"/>
      <c r="M4" s="24"/>
    </row>
    <row r="5" spans="1:13" x14ac:dyDescent="0.3">
      <c r="A5" s="24"/>
      <c r="B5" s="24"/>
      <c r="C5" s="24"/>
      <c r="D5" s="24"/>
      <c r="E5" s="24"/>
      <c r="F5" s="24"/>
      <c r="G5" s="24"/>
      <c r="H5" s="24"/>
      <c r="I5" s="24"/>
      <c r="J5" s="24"/>
      <c r="K5" s="24"/>
      <c r="L5" s="24"/>
      <c r="M5" s="24"/>
    </row>
    <row r="6" spans="1:13" x14ac:dyDescent="0.3">
      <c r="A6" s="24"/>
      <c r="B6" s="24"/>
      <c r="C6" s="24"/>
      <c r="D6" s="24"/>
      <c r="E6" s="24"/>
      <c r="F6" s="24"/>
      <c r="G6" s="24"/>
      <c r="H6" s="24"/>
      <c r="I6" s="24"/>
      <c r="J6" s="24"/>
      <c r="K6" s="24"/>
      <c r="L6" s="24"/>
      <c r="M6" s="24"/>
    </row>
    <row r="7" spans="1:13" x14ac:dyDescent="0.3">
      <c r="A7" s="24"/>
      <c r="B7" s="24"/>
      <c r="C7" s="24"/>
      <c r="D7" s="24"/>
      <c r="E7" s="24"/>
      <c r="F7" s="24"/>
      <c r="G7" s="24"/>
      <c r="H7" s="24"/>
      <c r="I7" s="24"/>
      <c r="J7" s="24"/>
      <c r="K7" s="24"/>
      <c r="L7" s="24"/>
      <c r="M7" s="24"/>
    </row>
    <row r="8" spans="1:13" x14ac:dyDescent="0.3">
      <c r="A8" s="24"/>
      <c r="B8" s="24"/>
      <c r="C8" s="24"/>
      <c r="D8" s="24"/>
      <c r="E8" s="24"/>
      <c r="F8" s="24"/>
      <c r="G8" s="24"/>
      <c r="H8" s="24"/>
      <c r="I8" s="24"/>
      <c r="J8" s="24"/>
      <c r="K8" s="24"/>
      <c r="L8" s="24"/>
      <c r="M8" s="24"/>
    </row>
    <row r="9" spans="1:13" x14ac:dyDescent="0.3">
      <c r="A9" s="24"/>
      <c r="B9" s="24"/>
      <c r="C9" s="24"/>
      <c r="D9" s="24"/>
      <c r="E9" s="24"/>
      <c r="F9" s="24"/>
      <c r="G9" s="24"/>
      <c r="H9" s="24"/>
      <c r="I9" s="24"/>
      <c r="J9" s="24"/>
      <c r="K9" s="24"/>
      <c r="L9" s="24"/>
      <c r="M9" s="24"/>
    </row>
    <row r="10" spans="1:13" x14ac:dyDescent="0.3">
      <c r="A10" s="24"/>
      <c r="B10" s="24"/>
      <c r="C10" s="24"/>
      <c r="D10" s="24"/>
      <c r="E10" s="24"/>
      <c r="F10" s="24"/>
      <c r="G10" s="24"/>
      <c r="H10" s="24"/>
      <c r="I10" s="24"/>
      <c r="J10" s="24"/>
      <c r="K10" s="24"/>
      <c r="L10" s="24"/>
      <c r="M10" s="24"/>
    </row>
    <row r="11" spans="1:13" x14ac:dyDescent="0.3">
      <c r="A11" s="24"/>
      <c r="B11" s="24"/>
      <c r="C11" s="24"/>
      <c r="D11" s="24"/>
      <c r="E11" s="24"/>
      <c r="F11" s="24"/>
      <c r="G11" s="24"/>
      <c r="H11" s="24"/>
      <c r="I11" s="24"/>
      <c r="J11" s="24"/>
      <c r="K11" s="24"/>
      <c r="L11" s="24"/>
      <c r="M11" s="24"/>
    </row>
    <row r="12" spans="1:13" x14ac:dyDescent="0.3">
      <c r="A12" s="24"/>
      <c r="B12" s="24"/>
      <c r="C12" s="24"/>
      <c r="D12" s="24"/>
      <c r="E12" s="24"/>
      <c r="F12" s="24"/>
      <c r="G12" s="24"/>
      <c r="H12" s="24"/>
      <c r="I12" s="24"/>
      <c r="J12" s="24"/>
      <c r="K12" s="24"/>
      <c r="L12" s="24"/>
      <c r="M12" s="24"/>
    </row>
    <row r="13" spans="1:13" x14ac:dyDescent="0.3">
      <c r="A13" s="24"/>
      <c r="B13" s="24"/>
      <c r="C13" s="24"/>
      <c r="D13" s="24"/>
      <c r="E13" s="24"/>
      <c r="F13" s="24"/>
      <c r="G13" s="24"/>
      <c r="H13" s="24"/>
      <c r="I13" s="24"/>
      <c r="J13" s="24"/>
      <c r="K13" s="24"/>
      <c r="L13" s="24"/>
      <c r="M13" s="24"/>
    </row>
    <row r="14" spans="1:13" x14ac:dyDescent="0.3">
      <c r="A14" s="24"/>
      <c r="B14" s="24"/>
      <c r="C14" s="24"/>
      <c r="D14" s="24"/>
      <c r="E14" s="24"/>
      <c r="F14" s="24"/>
      <c r="G14" s="24"/>
      <c r="H14" s="24"/>
      <c r="I14" s="24"/>
      <c r="J14" s="24"/>
      <c r="K14" s="24"/>
      <c r="L14" s="24"/>
      <c r="M14" s="24"/>
    </row>
    <row r="15" spans="1:13" x14ac:dyDescent="0.3">
      <c r="A15" s="24"/>
      <c r="B15" s="24"/>
      <c r="C15" s="24"/>
      <c r="D15" s="24"/>
      <c r="E15" s="24"/>
      <c r="F15" s="24"/>
      <c r="G15" s="24"/>
      <c r="H15" s="24"/>
      <c r="I15" s="24"/>
      <c r="J15" s="24"/>
      <c r="K15" s="24"/>
      <c r="L15" s="24"/>
      <c r="M15" s="24"/>
    </row>
    <row r="16" spans="1:13" x14ac:dyDescent="0.3">
      <c r="A16" s="24"/>
      <c r="B16" s="24"/>
      <c r="C16" s="24"/>
      <c r="D16" s="24"/>
      <c r="E16" s="24"/>
      <c r="F16" s="24"/>
      <c r="G16" s="24"/>
      <c r="H16" s="24"/>
      <c r="I16" s="24"/>
      <c r="J16" s="24"/>
      <c r="K16" s="24"/>
      <c r="L16" s="24"/>
      <c r="M16" s="24"/>
    </row>
    <row r="17" spans="1:13" x14ac:dyDescent="0.3">
      <c r="A17" s="24"/>
      <c r="B17" s="24"/>
      <c r="C17" s="24"/>
      <c r="D17" s="24"/>
      <c r="E17" s="24"/>
      <c r="F17" s="24"/>
      <c r="G17" s="24"/>
      <c r="H17" s="24"/>
      <c r="I17" s="24"/>
      <c r="J17" s="24"/>
      <c r="K17" s="24"/>
      <c r="L17" s="24"/>
      <c r="M17" s="24"/>
    </row>
    <row r="18" spans="1:13" x14ac:dyDescent="0.3">
      <c r="A18" s="24"/>
      <c r="B18" s="24"/>
      <c r="C18" s="24"/>
      <c r="D18" s="24"/>
      <c r="E18" s="24"/>
      <c r="F18" s="24"/>
      <c r="G18" s="24"/>
      <c r="H18" s="24"/>
      <c r="I18" s="24"/>
      <c r="J18" s="24"/>
      <c r="K18" s="24"/>
      <c r="L18" s="24"/>
      <c r="M18" s="24"/>
    </row>
    <row r="19" spans="1:13" x14ac:dyDescent="0.3">
      <c r="A19" s="24"/>
      <c r="B19" s="24"/>
      <c r="C19" s="24"/>
      <c r="D19" s="24"/>
      <c r="E19" s="24"/>
      <c r="F19" s="24"/>
      <c r="G19" s="24"/>
      <c r="H19" s="24"/>
      <c r="I19" s="24"/>
      <c r="J19" s="24"/>
      <c r="K19" s="24"/>
      <c r="L19" s="24"/>
      <c r="M19" s="24"/>
    </row>
    <row r="20" spans="1:13" x14ac:dyDescent="0.3">
      <c r="A20" s="24"/>
      <c r="B20" s="24"/>
      <c r="C20" s="24"/>
      <c r="D20" s="24"/>
      <c r="E20" s="24"/>
      <c r="F20" s="24"/>
      <c r="G20" s="24"/>
      <c r="H20" s="24"/>
      <c r="I20" s="24"/>
      <c r="J20" s="24"/>
      <c r="K20" s="24"/>
      <c r="L20" s="24"/>
      <c r="M20" s="24"/>
    </row>
    <row r="21" spans="1:13" x14ac:dyDescent="0.3">
      <c r="A21" s="24"/>
      <c r="B21" s="24"/>
      <c r="C21" s="24"/>
      <c r="D21" s="24"/>
      <c r="E21" s="24"/>
      <c r="F21" s="24"/>
      <c r="G21" s="24"/>
      <c r="H21" s="24"/>
      <c r="I21" s="24"/>
      <c r="J21" s="24"/>
      <c r="K21" s="24"/>
      <c r="L21" s="24"/>
      <c r="M21" s="24"/>
    </row>
    <row r="22" spans="1:13" x14ac:dyDescent="0.3">
      <c r="A22" s="24"/>
      <c r="B22" s="24"/>
      <c r="C22" s="24"/>
      <c r="D22" s="24"/>
      <c r="E22" s="24"/>
      <c r="F22" s="24"/>
      <c r="G22" s="24"/>
      <c r="H22" s="24"/>
      <c r="I22" s="24"/>
      <c r="J22" s="24"/>
      <c r="K22" s="24"/>
      <c r="L22" s="24"/>
      <c r="M22" s="24"/>
    </row>
    <row r="23" spans="1:13" x14ac:dyDescent="0.3">
      <c r="A23" s="24"/>
      <c r="B23" s="24"/>
      <c r="C23" s="24"/>
      <c r="D23" s="24"/>
      <c r="E23" s="24"/>
      <c r="F23" s="24"/>
      <c r="G23" s="24"/>
      <c r="H23" s="24"/>
      <c r="I23" s="24"/>
      <c r="J23" s="24"/>
      <c r="K23" s="24"/>
      <c r="L23" s="24"/>
      <c r="M23" s="24"/>
    </row>
    <row r="24" spans="1:13" x14ac:dyDescent="0.3">
      <c r="A24" s="24"/>
      <c r="B24" s="24"/>
      <c r="C24" s="24"/>
      <c r="D24" s="24"/>
      <c r="E24" s="24"/>
      <c r="F24" s="24"/>
      <c r="G24" s="24"/>
      <c r="H24" s="24"/>
      <c r="I24" s="24"/>
      <c r="J24" s="24"/>
      <c r="K24" s="24"/>
      <c r="L24" s="24"/>
      <c r="M24" s="24"/>
    </row>
    <row r="25" spans="1:13" x14ac:dyDescent="0.3">
      <c r="A25" s="24"/>
      <c r="B25" s="24"/>
      <c r="C25" s="24"/>
      <c r="D25" s="24"/>
      <c r="E25" s="24"/>
      <c r="F25" s="24"/>
      <c r="G25" s="24"/>
      <c r="H25" s="24"/>
      <c r="I25" s="24"/>
      <c r="J25" s="24"/>
      <c r="K25" s="24"/>
      <c r="L25" s="24"/>
      <c r="M25" s="24"/>
    </row>
    <row r="26" spans="1:13" x14ac:dyDescent="0.3">
      <c r="A26" s="24"/>
      <c r="B26" s="24"/>
      <c r="C26" s="24"/>
      <c r="D26" s="24"/>
      <c r="E26" s="24"/>
      <c r="F26" s="24"/>
      <c r="G26" s="24"/>
      <c r="H26" s="24"/>
      <c r="I26" s="24"/>
      <c r="J26" s="24"/>
      <c r="K26" s="24"/>
      <c r="L26" s="24"/>
      <c r="M26" s="24"/>
    </row>
    <row r="27" spans="1:13" x14ac:dyDescent="0.3">
      <c r="A27" s="24"/>
      <c r="B27" s="24"/>
      <c r="C27" s="24"/>
      <c r="D27" s="24"/>
      <c r="E27" s="24"/>
      <c r="F27" s="24"/>
      <c r="G27" s="24"/>
      <c r="H27" s="24"/>
      <c r="I27" s="24"/>
      <c r="J27" s="24"/>
      <c r="K27" s="24"/>
      <c r="L27" s="24"/>
      <c r="M27" s="24"/>
    </row>
    <row r="28" spans="1:13" x14ac:dyDescent="0.3">
      <c r="A28" s="24"/>
      <c r="B28" s="24"/>
      <c r="C28" s="24"/>
      <c r="D28" s="24"/>
      <c r="E28" s="24"/>
      <c r="F28" s="24"/>
      <c r="G28" s="24"/>
      <c r="H28" s="24"/>
      <c r="I28" s="24"/>
      <c r="J28" s="24"/>
      <c r="K28" s="24"/>
      <c r="L28" s="24"/>
      <c r="M28" s="24"/>
    </row>
    <row r="29" spans="1:13" x14ac:dyDescent="0.3">
      <c r="A29" s="24"/>
      <c r="B29" s="24"/>
      <c r="C29" s="24"/>
      <c r="D29" s="24"/>
      <c r="E29" s="24"/>
      <c r="F29" s="24"/>
      <c r="G29" s="24"/>
      <c r="H29" s="24"/>
      <c r="I29" s="24"/>
      <c r="J29" s="24"/>
      <c r="K29" s="24"/>
      <c r="L29" s="24"/>
      <c r="M29" s="24"/>
    </row>
    <row r="30" spans="1:13" x14ac:dyDescent="0.3">
      <c r="A30" s="24"/>
      <c r="B30" s="24"/>
      <c r="C30" s="24"/>
      <c r="D30" s="24"/>
      <c r="E30" s="24"/>
      <c r="F30" s="24"/>
      <c r="G30" s="24"/>
      <c r="H30" s="24"/>
      <c r="I30" s="24"/>
      <c r="J30" s="24"/>
      <c r="K30" s="24"/>
      <c r="L30" s="24"/>
      <c r="M30" s="24"/>
    </row>
    <row r="31" spans="1:13" x14ac:dyDescent="0.3">
      <c r="A31" s="24"/>
      <c r="B31" s="24"/>
      <c r="C31" s="24"/>
      <c r="D31" s="24"/>
      <c r="E31" s="24"/>
      <c r="F31" s="24"/>
      <c r="G31" s="24"/>
      <c r="H31" s="24"/>
      <c r="I31" s="24"/>
      <c r="J31" s="24"/>
      <c r="K31" s="24"/>
      <c r="L31" s="24"/>
      <c r="M31" s="24"/>
    </row>
    <row r="32" spans="1:13" x14ac:dyDescent="0.3">
      <c r="A32" s="24"/>
      <c r="B32" s="24"/>
      <c r="C32" s="24"/>
      <c r="D32" s="24"/>
      <c r="E32" s="24"/>
      <c r="F32" s="24"/>
      <c r="G32" s="24"/>
      <c r="H32" s="24"/>
      <c r="I32" s="24"/>
      <c r="J32" s="24"/>
      <c r="K32" s="24"/>
      <c r="L32" s="24"/>
      <c r="M32" s="24"/>
    </row>
    <row r="33" spans="1:13" x14ac:dyDescent="0.3">
      <c r="A33" s="24"/>
      <c r="B33" s="24"/>
      <c r="C33" s="24"/>
      <c r="D33" s="24"/>
      <c r="E33" s="24"/>
      <c r="F33" s="24"/>
      <c r="G33" s="24"/>
      <c r="H33" s="24"/>
      <c r="I33" s="24"/>
      <c r="J33" s="24"/>
      <c r="K33" s="24"/>
      <c r="L33" s="24"/>
      <c r="M33" s="24"/>
    </row>
    <row r="34" spans="1:13" x14ac:dyDescent="0.3">
      <c r="A34" s="24"/>
      <c r="B34" s="24"/>
      <c r="C34" s="24"/>
      <c r="D34" s="24"/>
      <c r="E34" s="24"/>
      <c r="F34" s="24"/>
      <c r="G34" s="24"/>
      <c r="H34" s="24"/>
      <c r="I34" s="24"/>
      <c r="J34" s="24"/>
      <c r="K34" s="24"/>
      <c r="L34" s="24"/>
      <c r="M34" s="24"/>
    </row>
    <row r="35" spans="1:13" x14ac:dyDescent="0.3">
      <c r="A35" s="24"/>
      <c r="B35" s="24"/>
      <c r="C35" s="24"/>
      <c r="D35" s="24"/>
      <c r="E35" s="24"/>
      <c r="F35" s="24"/>
      <c r="G35" s="24"/>
      <c r="H35" s="24"/>
      <c r="I35" s="24"/>
      <c r="J35" s="24"/>
      <c r="K35" s="24"/>
      <c r="L35" s="24"/>
      <c r="M35" s="24"/>
    </row>
    <row r="36" spans="1:13" x14ac:dyDescent="0.3">
      <c r="A36" s="24"/>
      <c r="B36" s="24"/>
      <c r="C36" s="24"/>
      <c r="D36" s="24"/>
      <c r="E36" s="24"/>
      <c r="F36" s="24"/>
      <c r="G36" s="24"/>
      <c r="H36" s="24"/>
      <c r="I36" s="24"/>
      <c r="J36" s="24"/>
      <c r="K36" s="24"/>
      <c r="L36" s="24"/>
      <c r="M36" s="24"/>
    </row>
    <row r="37" spans="1:13" x14ac:dyDescent="0.3">
      <c r="A37" s="24"/>
      <c r="B37" s="24"/>
      <c r="C37" s="24"/>
      <c r="D37" s="24"/>
      <c r="E37" s="24"/>
      <c r="F37" s="24"/>
      <c r="G37" s="24"/>
      <c r="H37" s="24"/>
      <c r="I37" s="24"/>
      <c r="J37" s="24"/>
      <c r="K37" s="24"/>
      <c r="L37" s="24"/>
      <c r="M37" s="24"/>
    </row>
    <row r="38" spans="1:13" x14ac:dyDescent="0.3">
      <c r="A38" s="24"/>
      <c r="B38" s="24"/>
      <c r="C38" s="24"/>
      <c r="D38" s="24"/>
      <c r="E38" s="24"/>
      <c r="F38" s="24"/>
      <c r="G38" s="24"/>
      <c r="H38" s="24"/>
      <c r="I38" s="24"/>
      <c r="J38" s="24"/>
      <c r="K38" s="24"/>
      <c r="L38" s="24"/>
      <c r="M38" s="24"/>
    </row>
    <row r="39" spans="1:13" x14ac:dyDescent="0.3">
      <c r="A39" s="24"/>
      <c r="B39" s="24"/>
      <c r="C39" s="24"/>
      <c r="D39" s="24"/>
      <c r="E39" s="24"/>
      <c r="F39" s="24"/>
      <c r="G39" s="24"/>
      <c r="H39" s="24"/>
      <c r="I39" s="24"/>
      <c r="J39" s="24"/>
      <c r="K39" s="24"/>
      <c r="L39" s="24"/>
      <c r="M39" s="24"/>
    </row>
    <row r="40" spans="1:13" x14ac:dyDescent="0.3">
      <c r="A40" s="24"/>
      <c r="B40" s="24"/>
      <c r="C40" s="24"/>
      <c r="D40" s="24"/>
      <c r="E40" s="24"/>
      <c r="F40" s="24"/>
      <c r="G40" s="24"/>
      <c r="H40" s="24"/>
      <c r="I40" s="24"/>
      <c r="J40" s="24"/>
      <c r="K40" s="24"/>
      <c r="L40" s="24"/>
      <c r="M40" s="24"/>
    </row>
    <row r="41" spans="1:13" x14ac:dyDescent="0.3">
      <c r="A41" s="24"/>
      <c r="B41" s="24"/>
      <c r="C41" s="24"/>
      <c r="D41" s="24"/>
      <c r="E41" s="24"/>
      <c r="F41" s="24"/>
      <c r="G41" s="24"/>
      <c r="H41" s="24"/>
      <c r="I41" s="24"/>
      <c r="J41" s="24"/>
      <c r="K41" s="31"/>
      <c r="L41" s="24"/>
      <c r="M41" s="24"/>
    </row>
    <row r="42" spans="1:13" x14ac:dyDescent="0.3">
      <c r="A42" s="24"/>
      <c r="B42" s="24"/>
      <c r="C42" s="24"/>
      <c r="D42" s="24"/>
      <c r="E42" s="24"/>
      <c r="F42" s="24"/>
      <c r="G42" s="24"/>
      <c r="H42" s="24"/>
      <c r="I42" s="24"/>
      <c r="J42" s="24"/>
      <c r="K42" s="24"/>
      <c r="L42" s="24"/>
      <c r="M42" s="24"/>
    </row>
    <row r="43" spans="1:13" x14ac:dyDescent="0.3">
      <c r="A43" s="24"/>
      <c r="B43" s="24"/>
      <c r="C43" s="24"/>
      <c r="D43" s="24"/>
      <c r="E43" s="24"/>
      <c r="F43" s="24"/>
      <c r="G43" s="24"/>
      <c r="H43" s="24"/>
      <c r="I43" s="24"/>
      <c r="J43" s="24"/>
      <c r="K43" s="24"/>
      <c r="L43" s="24"/>
      <c r="M43" s="24"/>
    </row>
    <row r="44" spans="1:13" x14ac:dyDescent="0.3">
      <c r="A44" s="24"/>
      <c r="B44" s="24"/>
      <c r="C44" s="24"/>
      <c r="D44" s="24"/>
      <c r="E44" s="24"/>
      <c r="F44" s="24"/>
      <c r="G44" s="24"/>
      <c r="H44" s="24"/>
      <c r="I44" s="24"/>
      <c r="J44" s="24"/>
      <c r="K44" s="24"/>
      <c r="L44" s="24"/>
      <c r="M44" s="24"/>
    </row>
    <row r="45" spans="1:13" x14ac:dyDescent="0.3">
      <c r="A45" s="24"/>
      <c r="B45" s="24"/>
      <c r="C45" s="24"/>
      <c r="D45" s="24"/>
      <c r="E45" s="24"/>
      <c r="F45" s="24"/>
      <c r="G45" s="24"/>
      <c r="H45" s="24"/>
      <c r="I45" s="24"/>
      <c r="J45" s="24"/>
      <c r="K45" s="24"/>
      <c r="L45" s="24"/>
      <c r="M45" s="24"/>
    </row>
    <row r="46" spans="1:13" x14ac:dyDescent="0.3">
      <c r="A46" s="24"/>
      <c r="B46" s="24"/>
      <c r="C46" s="24"/>
      <c r="D46" s="24"/>
      <c r="E46" s="24"/>
      <c r="F46" s="24"/>
      <c r="G46" s="24"/>
      <c r="H46" s="24"/>
      <c r="I46" s="24"/>
      <c r="J46" s="24"/>
      <c r="K46" s="24"/>
      <c r="L46" s="24"/>
      <c r="M46" s="24"/>
    </row>
    <row r="47" spans="1:13" x14ac:dyDescent="0.3">
      <c r="A47" s="24"/>
      <c r="B47" s="24"/>
      <c r="C47" s="24"/>
      <c r="D47" s="24"/>
      <c r="E47" s="24"/>
      <c r="F47" s="24"/>
      <c r="G47" s="24"/>
      <c r="H47" s="24"/>
      <c r="I47" s="24"/>
      <c r="J47" s="24"/>
      <c r="K47" s="24"/>
      <c r="L47" s="24"/>
      <c r="M47" s="24"/>
    </row>
    <row r="48" spans="1:13" x14ac:dyDescent="0.3">
      <c r="A48" s="26"/>
      <c r="B48" s="29"/>
      <c r="C48" s="29"/>
      <c r="D48" s="29"/>
      <c r="E48" s="29"/>
      <c r="F48" s="29"/>
      <c r="G48" s="29"/>
      <c r="H48" s="29"/>
      <c r="I48" s="29"/>
      <c r="J48" s="29"/>
      <c r="K48" s="29"/>
      <c r="L48" s="29"/>
      <c r="M48" s="29"/>
    </row>
    <row r="49" spans="1:13" x14ac:dyDescent="0.3">
      <c r="A49" s="26"/>
      <c r="B49" s="29"/>
      <c r="C49" s="29"/>
      <c r="D49" s="29"/>
      <c r="E49" s="29"/>
      <c r="F49" s="29"/>
      <c r="G49" s="29"/>
      <c r="H49" s="29"/>
      <c r="I49" s="29"/>
      <c r="J49" s="29"/>
      <c r="K49" s="29"/>
      <c r="L49" s="29"/>
      <c r="M49" s="29"/>
    </row>
    <row r="50" spans="1:13" x14ac:dyDescent="0.3">
      <c r="A50" s="26"/>
      <c r="B50" s="29"/>
      <c r="C50" s="29"/>
      <c r="D50" s="29"/>
      <c r="E50" s="29"/>
      <c r="F50" s="29"/>
      <c r="G50" s="29"/>
      <c r="H50" s="29"/>
      <c r="I50" s="29"/>
      <c r="J50" s="29"/>
      <c r="K50" s="30"/>
      <c r="L50" s="29"/>
      <c r="M50" s="29"/>
    </row>
    <row r="51" spans="1:13" x14ac:dyDescent="0.3">
      <c r="A51" s="26"/>
      <c r="B51" s="29"/>
      <c r="C51" s="29"/>
      <c r="D51" s="29"/>
      <c r="E51" s="29"/>
      <c r="F51" s="29"/>
      <c r="G51" s="29"/>
      <c r="H51" s="29"/>
      <c r="I51" s="29"/>
      <c r="J51" s="29"/>
      <c r="K51" s="29"/>
      <c r="L51" s="29"/>
      <c r="M51" s="29"/>
    </row>
  </sheetData>
  <sheetProtection sheet="1" objects="1" selectLockedCells="1"/>
  <printOptions horizontalCentered="1"/>
  <pageMargins left="0.5" right="0.5" top="0.5" bottom="0.5" header="0.5" footer="0.5"/>
  <pageSetup paperSize="9" scale="7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4F8FAB"/>
    <pageSetUpPr fitToPage="1"/>
  </sheetPr>
  <dimension ref="A1:I51"/>
  <sheetViews>
    <sheetView topLeftCell="A4" zoomScaleNormal="100" zoomScalePageLayoutView="60" workbookViewId="0">
      <selection activeCell="C4" sqref="C4"/>
    </sheetView>
  </sheetViews>
  <sheetFormatPr defaultColWidth="0" defaultRowHeight="14" zeroHeight="1" x14ac:dyDescent="0.3"/>
  <cols>
    <col min="1" max="1" width="48.25" style="35" customWidth="1"/>
    <col min="2" max="4" width="20.75" style="58" customWidth="1"/>
    <col min="5" max="5" width="20.75" hidden="1" customWidth="1"/>
    <col min="6" max="6" width="18.5" hidden="1" customWidth="1"/>
    <col min="7" max="7" width="9" hidden="1" customWidth="1"/>
    <col min="8" max="9" width="8" hidden="1" customWidth="1"/>
    <col min="10" max="16384" width="9" hidden="1"/>
  </cols>
  <sheetData>
    <row r="1" spans="1:6" ht="60" customHeight="1" x14ac:dyDescent="0.3">
      <c r="A1" s="32" t="s">
        <v>184</v>
      </c>
      <c r="B1" s="560"/>
      <c r="C1" s="560"/>
      <c r="D1" s="560"/>
    </row>
    <row r="2" spans="1:6" ht="20.149999999999999" customHeight="1" x14ac:dyDescent="0.3">
      <c r="A2" s="79"/>
      <c r="B2" s="57"/>
      <c r="C2" s="57"/>
      <c r="D2" s="57"/>
    </row>
    <row r="3" spans="1:6" ht="36.75" customHeight="1" x14ac:dyDescent="0.3">
      <c r="A3" s="561"/>
      <c r="B3" s="562" t="s">
        <v>185</v>
      </c>
      <c r="C3" s="249" t="s">
        <v>186</v>
      </c>
      <c r="D3" s="250" t="s">
        <v>187</v>
      </c>
    </row>
    <row r="4" spans="1:6" ht="20.149999999999999" customHeight="1" x14ac:dyDescent="0.3">
      <c r="A4" s="91" t="s">
        <v>188</v>
      </c>
      <c r="B4" s="563" t="str">
        <f>IF('Input Sheet'!F19="","",'Input Sheet'!F19)</f>
        <v/>
      </c>
      <c r="C4" s="429">
        <v>0.65</v>
      </c>
      <c r="D4" s="564" t="str">
        <f>+(IF(B4&lt;C4,C4-B4,""))</f>
        <v/>
      </c>
    </row>
    <row r="5" spans="1:6" ht="20.149999999999999" customHeight="1" x14ac:dyDescent="0.3">
      <c r="A5" s="76" t="s">
        <v>189</v>
      </c>
      <c r="B5" s="565" t="str">
        <f>IF('Input Sheet'!F20="","",'Input Sheet'!F20)</f>
        <v/>
      </c>
      <c r="C5" s="430">
        <v>0.85</v>
      </c>
      <c r="D5" s="566" t="str">
        <f>+(IF(B5&lt;C5,C5-B5,""))</f>
        <v/>
      </c>
    </row>
    <row r="6" spans="1:6" ht="20.149999999999999" customHeight="1" x14ac:dyDescent="0.3">
      <c r="A6" s="76" t="s">
        <v>190</v>
      </c>
      <c r="B6" s="565" t="str">
        <f>+IF('Input Sheet'!F21="","",'Input Sheet'!F21)</f>
        <v/>
      </c>
      <c r="C6" s="430">
        <v>0.98</v>
      </c>
      <c r="D6" s="566" t="str">
        <f>+(IF(B6&lt;C6,C6-B6, ""))</f>
        <v/>
      </c>
    </row>
    <row r="7" spans="1:6" ht="20.149999999999999" customHeight="1" x14ac:dyDescent="0.3">
      <c r="A7" s="77" t="s">
        <v>191</v>
      </c>
      <c r="B7" s="567" t="str">
        <f>IF('Input Sheet'!F22="","",'Input Sheet'!F22)</f>
        <v/>
      </c>
      <c r="C7" s="568"/>
      <c r="D7" s="569"/>
    </row>
    <row r="8" spans="1:6" ht="20.149999999999999" customHeight="1" x14ac:dyDescent="0.3">
      <c r="A8" s="40"/>
      <c r="B8" s="57"/>
      <c r="C8" s="57"/>
      <c r="D8" s="57"/>
    </row>
    <row r="9" spans="1:6" ht="35.15" customHeight="1" x14ac:dyDescent="0.3">
      <c r="A9" s="189" t="s">
        <v>192</v>
      </c>
      <c r="B9" s="570"/>
      <c r="C9" s="186"/>
      <c r="D9" s="186"/>
      <c r="E9" s="571"/>
      <c r="F9" s="1"/>
    </row>
    <row r="10" spans="1:6" s="24" customFormat="1" ht="20.149999999999999" customHeight="1" x14ac:dyDescent="0.3">
      <c r="A10" s="247"/>
      <c r="B10" s="572"/>
      <c r="C10" s="573"/>
      <c r="D10" s="573"/>
      <c r="E10" s="574"/>
      <c r="F10" s="108"/>
    </row>
    <row r="11" spans="1:6" ht="30" customHeight="1" x14ac:dyDescent="0.3">
      <c r="A11" s="575" t="s">
        <v>193</v>
      </c>
      <c r="B11" s="576"/>
      <c r="C11" s="577"/>
      <c r="D11" s="578"/>
      <c r="E11" s="1"/>
      <c r="F11" s="1"/>
    </row>
    <row r="12" spans="1:6" ht="20.149999999999999" customHeight="1" x14ac:dyDescent="0.3">
      <c r="A12" s="91" t="s">
        <v>194</v>
      </c>
      <c r="B12" s="579" t="str">
        <f>D5</f>
        <v/>
      </c>
      <c r="C12" s="580" t="str">
        <f>IF(B12="","",+B12*0.17)</f>
        <v/>
      </c>
      <c r="D12" s="161"/>
      <c r="E12" s="581"/>
    </row>
    <row r="13" spans="1:6" ht="20.149999999999999" customHeight="1" x14ac:dyDescent="0.3">
      <c r="A13" s="76" t="s">
        <v>195</v>
      </c>
      <c r="B13" s="582" t="str">
        <f>+D6</f>
        <v/>
      </c>
      <c r="C13" s="580" t="str">
        <f>IF(B13="","",+B13*0.29)</f>
        <v/>
      </c>
      <c r="D13" s="583"/>
      <c r="E13" s="581"/>
    </row>
    <row r="14" spans="1:6" ht="20.149999999999999" customHeight="1" x14ac:dyDescent="0.3">
      <c r="A14" s="149" t="s">
        <v>196</v>
      </c>
      <c r="B14" s="584"/>
      <c r="C14" s="585" t="str">
        <f>IF(C12= ""," ",(C12+C13))</f>
        <v xml:space="preserve"> </v>
      </c>
      <c r="D14" s="586"/>
      <c r="E14" s="581"/>
    </row>
    <row r="15" spans="1:6" ht="20.149999999999999" customHeight="1" x14ac:dyDescent="0.3">
      <c r="A15" s="126"/>
      <c r="B15" s="57"/>
      <c r="C15" s="587"/>
      <c r="D15" s="57"/>
      <c r="E15" s="581"/>
    </row>
    <row r="16" spans="1:6" ht="30" customHeight="1" x14ac:dyDescent="0.35">
      <c r="A16" s="575" t="s">
        <v>197</v>
      </c>
      <c r="B16" s="251"/>
      <c r="C16" s="588"/>
      <c r="D16" s="589"/>
      <c r="E16" s="2"/>
      <c r="F16" s="2"/>
    </row>
    <row r="17" spans="1:6" ht="20.149999999999999" customHeight="1" x14ac:dyDescent="0.3">
      <c r="A17" s="91" t="s">
        <v>194</v>
      </c>
      <c r="B17" s="590" t="str">
        <f>+D5</f>
        <v/>
      </c>
      <c r="C17" s="591" t="str">
        <f>IF(B17="","",+B17*0.06)</f>
        <v/>
      </c>
      <c r="D17" s="583"/>
      <c r="E17" s="581"/>
    </row>
    <row r="18" spans="1:6" ht="20.149999999999999" customHeight="1" x14ac:dyDescent="0.3">
      <c r="A18" s="76" t="s">
        <v>195</v>
      </c>
      <c r="B18" s="582" t="str">
        <f>+D6</f>
        <v/>
      </c>
      <c r="C18" s="592" t="str">
        <f>IF(B18="","",+B18*0.11)</f>
        <v/>
      </c>
      <c r="D18" s="583"/>
      <c r="E18" s="581"/>
    </row>
    <row r="19" spans="1:6" ht="20.149999999999999" customHeight="1" x14ac:dyDescent="0.3">
      <c r="A19" s="149" t="s">
        <v>198</v>
      </c>
      <c r="B19" s="584"/>
      <c r="C19" s="593" t="str">
        <f>IF(C17="","",C17+C18)</f>
        <v/>
      </c>
      <c r="D19" s="586"/>
      <c r="E19" s="581"/>
    </row>
    <row r="20" spans="1:6" ht="20.149999999999999" customHeight="1" x14ac:dyDescent="0.3">
      <c r="A20" s="40"/>
      <c r="B20" s="57"/>
      <c r="C20" s="594"/>
      <c r="D20" s="57"/>
    </row>
    <row r="21" spans="1:6" ht="35.15" customHeight="1" x14ac:dyDescent="0.3">
      <c r="A21" s="595" t="s">
        <v>199</v>
      </c>
      <c r="B21" s="205"/>
      <c r="C21" s="205"/>
      <c r="D21" s="205"/>
      <c r="E21" s="571"/>
      <c r="F21" s="1"/>
    </row>
    <row r="22" spans="1:6" ht="20.149999999999999" customHeight="1" x14ac:dyDescent="0.35">
      <c r="A22" s="80"/>
      <c r="B22" s="162"/>
      <c r="C22" s="162"/>
      <c r="D22" s="162"/>
      <c r="E22" s="2"/>
      <c r="F22" s="2"/>
    </row>
    <row r="23" spans="1:6" ht="30" customHeight="1" x14ac:dyDescent="0.3">
      <c r="A23" s="172" t="s">
        <v>126</v>
      </c>
      <c r="B23" s="252"/>
      <c r="C23" s="211"/>
      <c r="D23" s="57"/>
      <c r="E23" s="581"/>
      <c r="F23" s="596"/>
    </row>
    <row r="24" spans="1:6" ht="20.149999999999999" customHeight="1" x14ac:dyDescent="0.3">
      <c r="A24" s="91" t="s">
        <v>105</v>
      </c>
      <c r="B24" s="597" t="str">
        <f>IF(C14="", "", C14)</f>
        <v xml:space="preserve"> </v>
      </c>
      <c r="C24" s="57"/>
      <c r="D24" s="57"/>
    </row>
    <row r="25" spans="1:6" ht="20.149999999999999" customHeight="1" x14ac:dyDescent="0.35">
      <c r="A25" s="77" t="s">
        <v>106</v>
      </c>
      <c r="B25" s="598" t="str">
        <f>IFERROR(IF(B24="","",(B24*'Input Sheet'!I6*'Input Sheet'!B5)*100),"")</f>
        <v/>
      </c>
      <c r="C25" s="162"/>
      <c r="D25" s="162"/>
      <c r="E25" s="2"/>
      <c r="F25" s="2"/>
    </row>
    <row r="26" spans="1:6" ht="20.149999999999999" customHeight="1" x14ac:dyDescent="0.3">
      <c r="A26" s="199"/>
      <c r="B26" s="163"/>
      <c r="C26" s="181"/>
      <c r="D26" s="248"/>
    </row>
    <row r="27" spans="1:6" ht="30" customHeight="1" x14ac:dyDescent="0.3">
      <c r="A27" s="172" t="s">
        <v>107</v>
      </c>
      <c r="B27" s="252"/>
      <c r="C27" s="57"/>
      <c r="D27" s="57"/>
    </row>
    <row r="28" spans="1:6" ht="20.149999999999999" customHeight="1" x14ac:dyDescent="0.3">
      <c r="A28" s="91" t="s">
        <v>108</v>
      </c>
      <c r="B28" s="597" t="str">
        <f>IF(C19="", "", C19)</f>
        <v/>
      </c>
      <c r="C28" s="57"/>
      <c r="D28" s="57"/>
    </row>
    <row r="29" spans="1:6" ht="20.149999999999999" customHeight="1" x14ac:dyDescent="0.3">
      <c r="A29" s="77" t="s">
        <v>106</v>
      </c>
      <c r="B29" s="598" t="str">
        <f>IF(B28="","",(B28*10*'Input Sheet'!B5)*100)</f>
        <v/>
      </c>
      <c r="C29" s="57"/>
      <c r="D29" s="57"/>
    </row>
    <row r="30" spans="1:6" ht="20.149999999999999" customHeight="1" x14ac:dyDescent="0.3">
      <c r="A30" s="40"/>
      <c r="B30" s="57"/>
      <c r="C30" s="57"/>
      <c r="D30" s="57"/>
    </row>
    <row r="31" spans="1:6" ht="35.25" customHeight="1" x14ac:dyDescent="0.3">
      <c r="A31" s="245" t="s">
        <v>109</v>
      </c>
      <c r="B31" s="273" t="str">
        <f>IF(AND((B25=""),(B29="")),"",(B25+B29))</f>
        <v/>
      </c>
      <c r="C31" s="656" t="str">
        <f>IF(B31="","Well done!"&amp;CHAR(10)&amp;"You do not have a gap in this area", "")</f>
        <v>Well done!
You do not have a gap in this area</v>
      </c>
      <c r="D31" s="656"/>
    </row>
    <row r="32" spans="1:6" ht="20.149999999999999" customHeight="1" x14ac:dyDescent="0.3">
      <c r="A32" s="40"/>
      <c r="B32" s="57"/>
      <c r="C32" s="57"/>
      <c r="D32" s="57"/>
    </row>
    <row r="33" spans="1:4" ht="20.149999999999999" hidden="1" customHeight="1" x14ac:dyDescent="0.3">
      <c r="A33" s="40"/>
      <c r="B33" s="57"/>
      <c r="C33" s="57"/>
      <c r="D33" s="57"/>
    </row>
    <row r="34" spans="1:4" ht="20.149999999999999" hidden="1" customHeight="1" x14ac:dyDescent="0.3">
      <c r="A34" s="40"/>
      <c r="B34" s="57"/>
      <c r="C34" s="57"/>
      <c r="D34" s="57"/>
    </row>
    <row r="35" spans="1:4" ht="20.149999999999999" hidden="1" customHeight="1" x14ac:dyDescent="0.3">
      <c r="A35" s="40"/>
      <c r="B35" s="57"/>
      <c r="C35" s="57"/>
      <c r="D35" s="57"/>
    </row>
    <row r="36" spans="1:4" ht="20.149999999999999" hidden="1" customHeight="1" x14ac:dyDescent="0.3">
      <c r="A36" s="40"/>
      <c r="B36" s="57"/>
      <c r="C36" s="57"/>
      <c r="D36" s="57"/>
    </row>
    <row r="37" spans="1:4" ht="20.149999999999999" hidden="1" customHeight="1" x14ac:dyDescent="0.3">
      <c r="A37" s="40"/>
      <c r="B37" s="57"/>
      <c r="C37" s="57"/>
      <c r="D37" s="57"/>
    </row>
    <row r="38" spans="1:4" ht="20.149999999999999" hidden="1" customHeight="1" x14ac:dyDescent="0.3">
      <c r="A38" s="40"/>
      <c r="B38" s="57"/>
      <c r="C38" s="57"/>
      <c r="D38" s="57"/>
    </row>
    <row r="39" spans="1:4" ht="20.149999999999999" hidden="1" customHeight="1" x14ac:dyDescent="0.3">
      <c r="A39" s="40"/>
      <c r="B39" s="57"/>
      <c r="C39" s="57"/>
      <c r="D39" s="57"/>
    </row>
    <row r="40" spans="1:4" ht="20.149999999999999" hidden="1" customHeight="1" x14ac:dyDescent="0.3">
      <c r="A40" s="40"/>
      <c r="B40" s="57"/>
      <c r="C40" s="57"/>
      <c r="D40" s="57"/>
    </row>
    <row r="41" spans="1:4" hidden="1" x14ac:dyDescent="0.3">
      <c r="A41" s="40"/>
      <c r="B41" s="57"/>
      <c r="C41" s="57"/>
      <c r="D41" s="57"/>
    </row>
    <row r="42" spans="1:4" hidden="1" x14ac:dyDescent="0.3">
      <c r="A42" s="40"/>
      <c r="B42" s="57"/>
      <c r="C42" s="57"/>
      <c r="D42" s="57"/>
    </row>
    <row r="43" spans="1:4" x14ac:dyDescent="0.3">
      <c r="A43" s="40"/>
      <c r="B43" s="57"/>
      <c r="C43" s="57"/>
      <c r="D43" s="57"/>
    </row>
    <row r="44" spans="1:4" x14ac:dyDescent="0.3">
      <c r="A44" s="40"/>
      <c r="B44" s="57"/>
      <c r="C44" s="57"/>
      <c r="D44" s="57"/>
    </row>
    <row r="45" spans="1:4" x14ac:dyDescent="0.3">
      <c r="A45" s="40"/>
      <c r="B45" s="57"/>
      <c r="C45" s="57"/>
      <c r="D45" s="57"/>
    </row>
    <row r="46" spans="1:4" x14ac:dyDescent="0.3">
      <c r="A46" s="40"/>
      <c r="B46" s="57"/>
      <c r="C46" s="57"/>
      <c r="D46" s="57"/>
    </row>
    <row r="47" spans="1:4" x14ac:dyDescent="0.3">
      <c r="A47" s="40"/>
      <c r="B47" s="57"/>
      <c r="C47" s="57"/>
      <c r="D47" s="57"/>
    </row>
    <row r="48" spans="1:4" ht="14.25" customHeight="1" x14ac:dyDescent="0.3">
      <c r="A48" s="244"/>
      <c r="B48" s="272"/>
      <c r="C48" s="272"/>
      <c r="D48" s="272"/>
    </row>
    <row r="49" spans="1:4" ht="14.25" customHeight="1" x14ac:dyDescent="0.3">
      <c r="A49" s="244"/>
      <c r="B49" s="272"/>
      <c r="C49" s="272"/>
      <c r="D49" s="272"/>
    </row>
    <row r="50" spans="1:4" ht="14.25" customHeight="1" x14ac:dyDescent="0.3">
      <c r="A50" s="244"/>
      <c r="B50" s="272"/>
      <c r="C50" s="272"/>
      <c r="D50" s="272"/>
    </row>
    <row r="51" spans="1:4" ht="14.25" customHeight="1" x14ac:dyDescent="0.3">
      <c r="A51" s="244"/>
      <c r="B51" s="272"/>
      <c r="C51" s="272"/>
      <c r="D51" s="272"/>
    </row>
  </sheetData>
  <sheetProtection sheet="1" objects="1" selectLockedCells="1"/>
  <protectedRanges>
    <protectedRange sqref="C4:C6" name="Cvg Pattern targets"/>
  </protectedRanges>
  <mergeCells count="1">
    <mergeCell ref="C31:D31"/>
  </mergeCells>
  <dataValidations count="1">
    <dataValidation allowBlank="1" showInputMessage="1" showErrorMessage="1" prompt="Defaults are 65%, 85% and 98%" sqref="C6" xr:uid="{9B065025-7AE5-4014-8F13-712561ADAEA5}"/>
  </dataValidations>
  <printOptions horizontalCentered="1"/>
  <pageMargins left="0.5" right="0.5" top="0.5" bottom="0.5" header="0.5" footer="0.5"/>
  <pageSetup paperSize="9" scale="65"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AC143"/>
    <pageSetUpPr fitToPage="1"/>
  </sheetPr>
  <dimension ref="A1:P53"/>
  <sheetViews>
    <sheetView zoomScaleNormal="100" zoomScalePageLayoutView="60" workbookViewId="0">
      <selection activeCell="C51" sqref="C51"/>
    </sheetView>
  </sheetViews>
  <sheetFormatPr defaultColWidth="0" defaultRowHeight="14" zeroHeight="1" x14ac:dyDescent="0.3"/>
  <cols>
    <col min="1" max="1" width="49.25" style="58" customWidth="1"/>
    <col min="2" max="4" width="27.08203125" style="58" customWidth="1"/>
    <col min="5" max="5" width="18.5" style="340" hidden="1" customWidth="1"/>
    <col min="6" max="6" width="29.75" style="340" hidden="1" customWidth="1"/>
    <col min="7" max="7" width="18.5" style="340" hidden="1" customWidth="1"/>
    <col min="8" max="8" width="7.5" style="340" hidden="1" customWidth="1"/>
    <col min="9" max="9" width="18.5" style="340" hidden="1" customWidth="1"/>
    <col min="10" max="10" width="25" style="340" hidden="1" customWidth="1"/>
    <col min="11" max="11" width="18.25" style="340" hidden="1" customWidth="1"/>
    <col min="12" max="12" width="24.75" style="340" hidden="1" customWidth="1"/>
    <col min="13" max="13" width="19.83203125" style="340" hidden="1" customWidth="1"/>
    <col min="14" max="14" width="13.25" style="340" hidden="1" customWidth="1"/>
    <col min="15" max="15" width="18.25" style="340" hidden="1" customWidth="1"/>
    <col min="16" max="16" width="16.25" style="340" hidden="1" customWidth="1"/>
    <col min="17" max="16384" width="9" style="340" hidden="1"/>
  </cols>
  <sheetData>
    <row r="1" spans="1:16" s="58" customFormat="1" ht="60" customHeight="1" x14ac:dyDescent="0.3">
      <c r="A1" s="32" t="s">
        <v>200</v>
      </c>
      <c r="B1" s="109"/>
      <c r="C1" s="109"/>
      <c r="D1" s="296"/>
      <c r="E1" s="340"/>
      <c r="F1" s="340"/>
      <c r="G1" s="340"/>
      <c r="H1" s="340"/>
      <c r="I1" s="340"/>
      <c r="J1" s="340"/>
      <c r="K1" s="340"/>
      <c r="L1" s="340"/>
      <c r="M1" s="340"/>
      <c r="N1" s="355"/>
      <c r="O1" s="355"/>
      <c r="P1" s="356"/>
    </row>
    <row r="2" spans="1:16" s="57" customFormat="1" ht="20.149999999999999" customHeight="1" x14ac:dyDescent="0.3">
      <c r="A2" s="274"/>
      <c r="B2" s="275"/>
      <c r="C2" s="275"/>
      <c r="D2" s="275"/>
      <c r="E2" s="383"/>
      <c r="F2" s="383"/>
      <c r="G2" s="383"/>
      <c r="H2" s="383"/>
      <c r="I2" s="383"/>
      <c r="J2" s="384"/>
      <c r="K2" s="384"/>
      <c r="L2" s="384"/>
      <c r="M2" s="384"/>
      <c r="N2" s="384"/>
      <c r="O2" s="384"/>
      <c r="P2" s="404"/>
    </row>
    <row r="3" spans="1:16" s="58" customFormat="1" ht="30" customHeight="1" x14ac:dyDescent="0.3">
      <c r="A3" s="172" t="s">
        <v>201</v>
      </c>
      <c r="B3" s="297"/>
      <c r="C3" s="276"/>
      <c r="D3" s="57"/>
      <c r="E3" s="340"/>
      <c r="F3" s="340"/>
      <c r="G3" s="340"/>
      <c r="H3" s="385"/>
      <c r="I3" s="359"/>
      <c r="J3" s="340"/>
      <c r="K3" s="340"/>
      <c r="L3" s="340"/>
      <c r="M3" s="340"/>
      <c r="N3" s="340"/>
      <c r="O3" s="340"/>
      <c r="P3" s="341"/>
    </row>
    <row r="4" spans="1:16" s="8" customFormat="1" ht="20.149999999999999" customHeight="1" x14ac:dyDescent="0.3">
      <c r="A4" s="279" t="s">
        <v>202</v>
      </c>
      <c r="B4" s="280" t="s">
        <v>203</v>
      </c>
      <c r="C4" s="56"/>
      <c r="D4" s="56"/>
      <c r="E4" s="386"/>
      <c r="F4" s="386"/>
      <c r="G4" s="386"/>
      <c r="H4" s="387"/>
      <c r="I4" s="388"/>
      <c r="J4" s="386"/>
      <c r="K4" s="386"/>
      <c r="L4" s="386"/>
      <c r="M4" s="386"/>
      <c r="N4" s="386"/>
      <c r="O4" s="386"/>
      <c r="P4" s="405"/>
    </row>
    <row r="5" spans="1:16" s="8" customFormat="1" ht="20.149999999999999" customHeight="1" x14ac:dyDescent="0.3">
      <c r="A5" s="281">
        <v>3.01</v>
      </c>
      <c r="B5" s="282" t="str">
        <f>IF('Input Sheet'!$F$25="", "", 'Input Sheet'!$F$25*0.2)</f>
        <v/>
      </c>
      <c r="C5" s="56"/>
      <c r="D5" s="56"/>
      <c r="E5" s="386"/>
      <c r="F5" s="386"/>
      <c r="G5" s="386"/>
      <c r="H5" s="387"/>
      <c r="I5" s="386"/>
      <c r="J5" s="386"/>
      <c r="K5" s="386"/>
      <c r="L5" s="386"/>
      <c r="M5" s="386"/>
      <c r="N5" s="386"/>
      <c r="O5" s="386"/>
      <c r="P5" s="405"/>
    </row>
    <row r="6" spans="1:16" s="8" customFormat="1" ht="20.149999999999999" customHeight="1" x14ac:dyDescent="0.3">
      <c r="A6" s="281">
        <v>6.01</v>
      </c>
      <c r="B6" s="282" t="str">
        <f>IF('Input Sheet'!$F$25="", "", 'Input Sheet'!$F$25*0.3)</f>
        <v/>
      </c>
      <c r="C6" s="56"/>
      <c r="D6" s="56"/>
      <c r="E6" s="386"/>
      <c r="F6" s="386"/>
      <c r="G6" s="386"/>
      <c r="H6" s="387"/>
      <c r="I6" s="386"/>
      <c r="J6" s="386"/>
      <c r="K6" s="386"/>
      <c r="L6" s="386"/>
      <c r="M6" s="386"/>
      <c r="N6" s="386"/>
      <c r="O6" s="386"/>
      <c r="P6" s="405"/>
    </row>
    <row r="7" spans="1:16" s="8" customFormat="1" ht="20.149999999999999" customHeight="1" x14ac:dyDescent="0.3">
      <c r="A7" s="281">
        <v>9.01</v>
      </c>
      <c r="B7" s="282" t="str">
        <f>IF('Input Sheet'!$F$25="", "", 'Input Sheet'!$F$25*0.4)</f>
        <v/>
      </c>
      <c r="C7" s="56"/>
      <c r="D7" s="56"/>
      <c r="E7" s="386"/>
      <c r="F7" s="386"/>
      <c r="G7" s="386"/>
      <c r="H7" s="387"/>
      <c r="I7" s="386"/>
      <c r="J7" s="386"/>
      <c r="K7" s="386"/>
      <c r="L7" s="386"/>
      <c r="M7" s="386"/>
      <c r="N7" s="386"/>
      <c r="O7" s="386"/>
      <c r="P7" s="405"/>
    </row>
    <row r="8" spans="1:16" s="8" customFormat="1" ht="20.149999999999999" customHeight="1" x14ac:dyDescent="0.3">
      <c r="A8" s="281">
        <v>12.01</v>
      </c>
      <c r="B8" s="282" t="str">
        <f>IF('Input Sheet'!$F$25="", "", 'Input Sheet'!$F$25*0.5)</f>
        <v/>
      </c>
      <c r="C8" s="56"/>
      <c r="D8" s="56"/>
      <c r="E8" s="386"/>
      <c r="F8" s="386"/>
      <c r="G8" s="386"/>
      <c r="H8" s="387"/>
      <c r="I8" s="386"/>
      <c r="J8" s="386"/>
      <c r="K8" s="386"/>
      <c r="L8" s="386"/>
      <c r="M8" s="386"/>
      <c r="N8" s="386"/>
      <c r="O8" s="386"/>
      <c r="P8" s="405"/>
    </row>
    <row r="9" spans="1:16" s="8" customFormat="1" ht="20.149999999999999" customHeight="1" x14ac:dyDescent="0.3">
      <c r="A9" s="281">
        <v>15.01</v>
      </c>
      <c r="B9" s="282" t="str">
        <f>IF('Input Sheet'!$F$25="", "", 'Input Sheet'!$F$25*0.62)</f>
        <v/>
      </c>
      <c r="C9" s="56"/>
      <c r="D9" s="56"/>
      <c r="E9" s="386"/>
      <c r="F9" s="386"/>
      <c r="G9" s="386"/>
      <c r="H9" s="387"/>
      <c r="I9" s="386"/>
      <c r="J9" s="386"/>
      <c r="K9" s="386"/>
      <c r="L9" s="386"/>
      <c r="M9" s="386"/>
      <c r="N9" s="386"/>
      <c r="O9" s="386"/>
      <c r="P9" s="405"/>
    </row>
    <row r="10" spans="1:16" s="8" customFormat="1" ht="20.149999999999999" customHeight="1" x14ac:dyDescent="0.3">
      <c r="A10" s="281">
        <v>18.010000000000002</v>
      </c>
      <c r="B10" s="282" t="str">
        <f>IF('Input Sheet'!$F$25="", "", 'Input Sheet'!$F$25*0.73)</f>
        <v/>
      </c>
      <c r="C10" s="56"/>
      <c r="D10" s="56"/>
      <c r="E10" s="386"/>
      <c r="F10" s="386"/>
      <c r="G10" s="387"/>
      <c r="H10" s="387"/>
      <c r="I10" s="386"/>
      <c r="J10" s="386"/>
      <c r="K10" s="386"/>
      <c r="L10" s="386"/>
      <c r="M10" s="386"/>
      <c r="N10" s="386"/>
      <c r="O10" s="386"/>
      <c r="P10" s="405"/>
    </row>
    <row r="11" spans="1:16" s="8" customFormat="1" ht="20.149999999999999" customHeight="1" x14ac:dyDescent="0.3">
      <c r="A11" s="283">
        <v>22.01</v>
      </c>
      <c r="B11" s="282" t="str">
        <f>IF('Input Sheet'!$F$25="", "", 'Input Sheet'!$F$25*0.9)</f>
        <v/>
      </c>
      <c r="C11" s="56"/>
      <c r="D11" s="56"/>
      <c r="E11" s="386"/>
      <c r="F11" s="386"/>
      <c r="G11" s="387"/>
      <c r="H11" s="387"/>
      <c r="I11" s="386"/>
      <c r="J11" s="386"/>
      <c r="K11" s="386"/>
      <c r="L11" s="386"/>
      <c r="M11" s="386"/>
      <c r="N11" s="386"/>
      <c r="O11" s="386"/>
      <c r="P11" s="405"/>
    </row>
    <row r="12" spans="1:16" s="58" customFormat="1" ht="20.149999999999999" customHeight="1" x14ac:dyDescent="0.3">
      <c r="A12" s="277"/>
      <c r="B12" s="277"/>
      <c r="C12" s="57"/>
      <c r="D12" s="57"/>
      <c r="E12" s="340"/>
      <c r="F12" s="340"/>
      <c r="G12" s="385"/>
      <c r="H12" s="385"/>
      <c r="I12" s="340"/>
      <c r="J12" s="340"/>
      <c r="K12" s="340"/>
      <c r="L12" s="340"/>
      <c r="M12" s="340"/>
      <c r="N12" s="340"/>
      <c r="O12" s="340"/>
      <c r="P12" s="341"/>
    </row>
    <row r="13" spans="1:16" s="58" customFormat="1" ht="30" customHeight="1" x14ac:dyDescent="0.3">
      <c r="A13" s="172" t="s">
        <v>204</v>
      </c>
      <c r="B13" s="298"/>
      <c r="C13" s="57"/>
      <c r="D13" s="57"/>
      <c r="E13" s="340"/>
      <c r="F13" s="340"/>
      <c r="G13" s="385"/>
      <c r="H13" s="385"/>
      <c r="I13" s="340"/>
      <c r="J13" s="340"/>
      <c r="K13" s="340"/>
      <c r="L13" s="340"/>
      <c r="M13" s="340"/>
      <c r="N13" s="340"/>
      <c r="O13" s="340"/>
      <c r="P13" s="341"/>
    </row>
    <row r="14" spans="1:16" s="8" customFormat="1" ht="20.149999999999999" customHeight="1" x14ac:dyDescent="0.3">
      <c r="A14" s="279" t="s">
        <v>205</v>
      </c>
      <c r="B14" s="284" t="str">
        <f>IF('Input Sheet'!F26="", "", 'Input Sheet'!F26)</f>
        <v>Select from drop down:</v>
      </c>
      <c r="C14" s="56"/>
      <c r="D14" s="56"/>
      <c r="E14" s="386"/>
      <c r="F14" s="386"/>
      <c r="G14" s="387"/>
      <c r="H14" s="387"/>
      <c r="I14" s="386"/>
      <c r="J14" s="386"/>
      <c r="K14" s="386"/>
      <c r="L14" s="386"/>
      <c r="M14" s="386"/>
      <c r="N14" s="386"/>
      <c r="O14" s="386"/>
      <c r="P14" s="405"/>
    </row>
    <row r="15" spans="1:16" s="8" customFormat="1" ht="20.149999999999999" customHeight="1" x14ac:dyDescent="0.3">
      <c r="A15" s="285" t="s">
        <v>206</v>
      </c>
      <c r="B15" s="148" t="str">
        <f>IF(B14&lt;A5,B5,(IF(B14&lt;A6,B6,(IF(B14&lt;A7,B7,(IF(B14&lt;A8,B8,(IF(B14&lt;A9,B9,(IF(B14&lt;A10,B10,(IF(B14&lt;A11,B11,"")))))))))))))</f>
        <v/>
      </c>
      <c r="C15" s="56"/>
      <c r="D15" s="56"/>
      <c r="E15" s="386"/>
      <c r="F15" s="386"/>
      <c r="G15" s="387"/>
      <c r="H15" s="387"/>
      <c r="I15" s="386"/>
      <c r="J15" s="386"/>
      <c r="K15" s="386"/>
      <c r="L15" s="386"/>
      <c r="M15" s="386"/>
      <c r="N15" s="386"/>
      <c r="O15" s="386"/>
      <c r="P15" s="405"/>
    </row>
    <row r="16" spans="1:16" s="8" customFormat="1" ht="20.149999999999999" customHeight="1" x14ac:dyDescent="0.3">
      <c r="A16" s="285" t="s">
        <v>207</v>
      </c>
      <c r="B16" s="148" t="str">
        <f>IF('Input Sheet'!F27="", "", 'Input Sheet'!F27)</f>
        <v/>
      </c>
      <c r="C16" s="56"/>
      <c r="D16" s="56"/>
      <c r="E16" s="386"/>
      <c r="F16" s="386"/>
      <c r="G16" s="387"/>
      <c r="H16" s="387"/>
      <c r="I16" s="386"/>
      <c r="J16" s="386"/>
      <c r="K16" s="386"/>
      <c r="L16" s="386"/>
      <c r="M16" s="386"/>
      <c r="N16" s="386"/>
      <c r="O16" s="386"/>
      <c r="P16" s="405"/>
    </row>
    <row r="17" spans="1:16" s="8" customFormat="1" ht="20.149999999999999" customHeight="1" x14ac:dyDescent="0.3">
      <c r="A17" s="285" t="s">
        <v>102</v>
      </c>
      <c r="B17" s="148" t="str">
        <f>IF(B15="", "", B15-B16)</f>
        <v/>
      </c>
      <c r="C17" s="56"/>
      <c r="D17" s="56"/>
      <c r="E17" s="386"/>
      <c r="F17" s="386"/>
      <c r="G17" s="387"/>
      <c r="H17" s="387"/>
      <c r="I17" s="386"/>
      <c r="J17" s="386"/>
      <c r="K17" s="386"/>
      <c r="L17" s="386"/>
      <c r="M17" s="386"/>
      <c r="N17" s="386"/>
      <c r="O17" s="386"/>
      <c r="P17" s="405"/>
    </row>
    <row r="18" spans="1:16" s="8" customFormat="1" ht="20.149999999999999" customHeight="1" x14ac:dyDescent="0.3">
      <c r="A18" s="286" t="s">
        <v>208</v>
      </c>
      <c r="B18" s="287" t="str">
        <f>IF(B16="", "", (B17/B16))</f>
        <v/>
      </c>
      <c r="C18" s="56"/>
      <c r="D18" s="56"/>
      <c r="E18" s="386"/>
      <c r="F18" s="386"/>
      <c r="G18" s="387"/>
      <c r="H18" s="387"/>
      <c r="I18" s="386"/>
      <c r="J18" s="386"/>
      <c r="K18" s="386"/>
      <c r="L18" s="386"/>
      <c r="M18" s="386"/>
      <c r="N18" s="406"/>
      <c r="O18" s="406"/>
      <c r="P18" s="407"/>
    </row>
    <row r="19" spans="1:16" s="58" customFormat="1" ht="20.149999999999999" customHeight="1" x14ac:dyDescent="0.3">
      <c r="A19" s="57"/>
      <c r="B19" s="57"/>
      <c r="C19" s="57"/>
      <c r="D19" s="57"/>
      <c r="E19" s="340"/>
      <c r="F19" s="340"/>
      <c r="G19" s="340"/>
      <c r="H19" s="340"/>
      <c r="I19" s="340"/>
      <c r="J19" s="340"/>
      <c r="K19" s="340"/>
      <c r="L19" s="340"/>
      <c r="M19" s="341"/>
      <c r="N19" s="409" t="s">
        <v>209</v>
      </c>
      <c r="O19" s="409" t="s">
        <v>210</v>
      </c>
      <c r="P19" s="409" t="s">
        <v>211</v>
      </c>
    </row>
    <row r="20" spans="1:16" s="58" customFormat="1" ht="35.15" customHeight="1" x14ac:dyDescent="0.3">
      <c r="A20" s="189" t="s">
        <v>212</v>
      </c>
      <c r="B20" s="205"/>
      <c r="C20" s="205"/>
      <c r="D20" s="191"/>
      <c r="E20" s="358"/>
      <c r="F20" s="358"/>
      <c r="G20" s="358"/>
      <c r="H20" s="358"/>
      <c r="I20" s="358"/>
      <c r="J20" s="359"/>
      <c r="K20" s="340"/>
      <c r="L20" s="340"/>
      <c r="M20" s="341"/>
      <c r="N20" s="58">
        <v>0</v>
      </c>
      <c r="O20" s="58">
        <v>0</v>
      </c>
      <c r="P20" s="58">
        <v>0</v>
      </c>
    </row>
    <row r="21" spans="1:16" s="57" customFormat="1" ht="20.149999999999999" customHeight="1" x14ac:dyDescent="0.3">
      <c r="A21" s="247"/>
      <c r="B21" s="210"/>
      <c r="C21" s="210"/>
      <c r="D21" s="210"/>
      <c r="E21" s="389"/>
      <c r="F21" s="389"/>
      <c r="G21" s="389"/>
      <c r="H21" s="389"/>
      <c r="I21" s="389"/>
      <c r="J21" s="390"/>
      <c r="K21" s="384"/>
      <c r="L21" s="384"/>
      <c r="M21" s="404"/>
    </row>
    <row r="22" spans="1:16" s="295" customFormat="1" ht="40" customHeight="1" x14ac:dyDescent="0.3">
      <c r="A22" s="658" t="s">
        <v>213</v>
      </c>
      <c r="B22" s="659"/>
      <c r="C22" s="294"/>
      <c r="D22" s="294"/>
      <c r="E22" s="391"/>
      <c r="F22" s="391"/>
      <c r="G22" s="391"/>
      <c r="H22" s="391"/>
      <c r="I22" s="391"/>
      <c r="J22" s="392"/>
      <c r="K22" s="392"/>
      <c r="L22" s="392"/>
      <c r="M22" s="408"/>
      <c r="N22" s="295">
        <v>5</v>
      </c>
      <c r="O22" s="295">
        <v>2.5</v>
      </c>
      <c r="P22" s="295">
        <v>0.8</v>
      </c>
    </row>
    <row r="23" spans="1:16" s="8" customFormat="1" ht="20.149999999999999" customHeight="1" x14ac:dyDescent="0.3">
      <c r="A23" s="91" t="s">
        <v>214</v>
      </c>
      <c r="B23" s="410" t="str">
        <f>IF(B18="","",IF(B18*100&lt;=N20,O20,(IF(AND(B18*100&lt;=N22,B18*100&gt;N20),O22,IF(AND(B18*100&gt;N22,B18*100&lt;=N23),O23,IF(AND(B18*100&gt;N23,B18*100&lt;=N24),O24,IF(AND(B18*100&gt;N24,B18*100&lt;=N25),O25,IF(AND(B18*100&gt;N25,B18*100&lt;=N26),O26,IF(B18*100&gt;N26,O26,""))))))))/100)</f>
        <v/>
      </c>
      <c r="C23" s="56" t="s">
        <v>118</v>
      </c>
      <c r="D23" s="56"/>
      <c r="E23" s="386"/>
      <c r="F23" s="386"/>
      <c r="G23" s="386"/>
      <c r="H23" s="386"/>
      <c r="I23" s="386"/>
      <c r="J23" s="388"/>
      <c r="K23" s="386"/>
      <c r="L23" s="386"/>
      <c r="M23" s="405"/>
      <c r="N23" s="8">
        <v>10</v>
      </c>
      <c r="O23" s="8">
        <v>5</v>
      </c>
      <c r="P23" s="8">
        <v>1.6</v>
      </c>
    </row>
    <row r="24" spans="1:16" s="8" customFormat="1" ht="20.149999999999999" customHeight="1" x14ac:dyDescent="0.3">
      <c r="A24" s="76" t="s">
        <v>215</v>
      </c>
      <c r="B24" s="411" t="str">
        <f>IF(B18="","",IF(B18*100&lt;=N20,P20,IF(AND(B18*100&gt;N20,B18*100&lt;=N22),P22,IF(AND(B18*100&gt;N22,B18*100&lt;=N23),P23,IF(AND(B18*100&gt;N23,B18*100&lt;=N24),P24,IF(AND(B18*100&gt;N24,B18*100&lt;=N25),P25,IF(AND(B18*100&gt;N25,B18*100&lt;=N26),P26,IF(B18*100&gt;N26,P26)))))))/100)</f>
        <v/>
      </c>
      <c r="C24" s="56"/>
      <c r="D24" s="59"/>
      <c r="E24" s="393"/>
      <c r="F24" s="386"/>
      <c r="G24" s="386"/>
      <c r="H24" s="386"/>
      <c r="I24" s="386"/>
      <c r="J24" s="394"/>
      <c r="K24" s="386"/>
      <c r="L24" s="386"/>
      <c r="M24" s="405"/>
      <c r="N24" s="8">
        <v>15</v>
      </c>
      <c r="O24" s="8">
        <v>8</v>
      </c>
      <c r="P24" s="8">
        <v>2.4</v>
      </c>
    </row>
    <row r="25" spans="1:16" s="8" customFormat="1" ht="20.149999999999999" customHeight="1" x14ac:dyDescent="0.3">
      <c r="A25" s="77" t="s">
        <v>216</v>
      </c>
      <c r="B25" s="412" t="str">
        <f>IF(B18="","",IF(B18&lt;0,"0",IF('Input Sheet'!B17="F",(0.0093*((B18*100)^2))+(0.7064*(B18*100)),(IF('Input Sheet'!B17="J",(0.0318*((B18*100)^2)+(0.6076*(B18*100))),(IF('Input Sheet'!B17="X",(0.0148*((B18*100)^2))+(0.6598*(B18*100)),"0")))))))</f>
        <v/>
      </c>
      <c r="C25" s="56"/>
      <c r="D25" s="56"/>
      <c r="E25" s="386"/>
      <c r="F25" s="386"/>
      <c r="G25" s="386"/>
      <c r="H25" s="386"/>
      <c r="I25" s="386"/>
      <c r="J25" s="394"/>
      <c r="K25" s="386"/>
      <c r="L25" s="386"/>
      <c r="M25" s="405"/>
      <c r="N25" s="8">
        <v>20</v>
      </c>
      <c r="O25" s="8">
        <v>13</v>
      </c>
      <c r="P25" s="8">
        <v>4</v>
      </c>
    </row>
    <row r="26" spans="1:16" s="58" customFormat="1" ht="20.149999999999999" customHeight="1" x14ac:dyDescent="0.3">
      <c r="A26" s="40"/>
      <c r="B26" s="57"/>
      <c r="C26" s="57"/>
      <c r="D26" s="57"/>
      <c r="E26" s="340"/>
      <c r="F26" s="340"/>
      <c r="G26" s="340"/>
      <c r="H26" s="340"/>
      <c r="I26" s="340"/>
      <c r="J26" s="340"/>
      <c r="K26" s="340"/>
      <c r="L26" s="340"/>
      <c r="M26" s="341"/>
      <c r="N26" s="58">
        <v>25</v>
      </c>
      <c r="O26" s="58">
        <v>18</v>
      </c>
      <c r="P26" s="58">
        <v>5.6</v>
      </c>
    </row>
    <row r="27" spans="1:16" s="403" customFormat="1" ht="40" customHeight="1" x14ac:dyDescent="0.3">
      <c r="A27" s="658" t="s">
        <v>217</v>
      </c>
      <c r="B27" s="659"/>
      <c r="C27" s="294"/>
      <c r="D27" s="294"/>
      <c r="E27" s="391"/>
      <c r="F27" s="391"/>
      <c r="G27" s="391"/>
      <c r="H27" s="391"/>
      <c r="I27" s="391"/>
      <c r="J27" s="392"/>
      <c r="K27" s="392"/>
      <c r="L27" s="392"/>
      <c r="M27" s="392"/>
    </row>
    <row r="28" spans="1:16" s="386" customFormat="1" ht="20.149999999999999" customHeight="1" x14ac:dyDescent="0.3">
      <c r="A28" s="91" t="s">
        <v>218</v>
      </c>
      <c r="B28" s="288" t="str">
        <f>IF(B23="","",(B23*'Input Sheet'!I6*'Input Sheet'!B7)*100)</f>
        <v/>
      </c>
      <c r="C28" s="56"/>
      <c r="D28" s="56"/>
      <c r="E28" s="395"/>
      <c r="G28" s="395"/>
      <c r="H28" s="388"/>
    </row>
    <row r="29" spans="1:16" s="386" customFormat="1" ht="20.149999999999999" customHeight="1" x14ac:dyDescent="0.3">
      <c r="A29" s="76" t="s">
        <v>219</v>
      </c>
      <c r="B29" s="289" t="str">
        <f>IF(B24="","",(B24*10*'Input Sheet'!B7)*100)</f>
        <v/>
      </c>
      <c r="C29" s="56"/>
      <c r="D29" s="56"/>
      <c r="E29" s="380"/>
    </row>
    <row r="30" spans="1:16" s="386" customFormat="1" ht="20.149999999999999" customHeight="1" x14ac:dyDescent="0.3">
      <c r="A30" s="76" t="s">
        <v>220</v>
      </c>
      <c r="B30" s="289" t="str">
        <f>IF(B25="","",(B25*'Input Sheet'!B16*'Input Sheet'!B7))</f>
        <v/>
      </c>
      <c r="C30" s="56"/>
      <c r="D30" s="56"/>
      <c r="E30" s="395"/>
      <c r="G30" s="395"/>
      <c r="H30" s="388"/>
    </row>
    <row r="31" spans="1:16" s="386" customFormat="1" ht="20.149999999999999" customHeight="1" x14ac:dyDescent="0.3">
      <c r="A31" s="149" t="s">
        <v>221</v>
      </c>
      <c r="B31" s="290" t="str">
        <f>IF(AND(B28="", B29="", B30=""),"",SUM(B28:B30))</f>
        <v/>
      </c>
      <c r="C31" s="56"/>
      <c r="D31" s="56"/>
      <c r="E31" s="380"/>
    </row>
    <row r="32" spans="1:16" ht="20.149999999999999" customHeight="1" x14ac:dyDescent="0.3">
      <c r="A32" s="40"/>
      <c r="B32" s="57"/>
      <c r="C32" s="57"/>
      <c r="D32" s="57"/>
    </row>
    <row r="33" spans="1:9" ht="38.25" customHeight="1" x14ac:dyDescent="0.3">
      <c r="A33" s="657" t="s">
        <v>222</v>
      </c>
      <c r="B33" s="657"/>
      <c r="C33" s="657"/>
      <c r="D33" s="191"/>
      <c r="E33" s="358"/>
      <c r="F33" s="358"/>
      <c r="G33" s="358"/>
      <c r="H33" s="358"/>
      <c r="I33" s="358"/>
    </row>
    <row r="34" spans="1:9" ht="20.149999999999999" customHeight="1" x14ac:dyDescent="0.3">
      <c r="A34" s="40"/>
      <c r="B34" s="57"/>
      <c r="C34" s="57"/>
      <c r="D34" s="57"/>
    </row>
    <row r="35" spans="1:9" ht="30" customHeight="1" x14ac:dyDescent="0.3">
      <c r="A35" s="172" t="s">
        <v>126</v>
      </c>
      <c r="B35" s="251"/>
      <c r="C35" s="162"/>
      <c r="D35" s="162"/>
      <c r="E35" s="370"/>
      <c r="F35" s="370"/>
      <c r="G35" s="370"/>
      <c r="H35" s="370"/>
      <c r="I35" s="370"/>
    </row>
    <row r="36" spans="1:9" s="386" customFormat="1" ht="20.149999999999999" customHeight="1" x14ac:dyDescent="0.3">
      <c r="A36" s="91" t="s">
        <v>105</v>
      </c>
      <c r="B36" s="291" t="str">
        <f>IF(B23="","",(B23*'Input Sheet'!F28))</f>
        <v/>
      </c>
      <c r="C36" s="56"/>
      <c r="D36" s="56"/>
    </row>
    <row r="37" spans="1:9" s="386" customFormat="1" ht="20.149999999999999" customHeight="1" x14ac:dyDescent="0.3">
      <c r="A37" s="77" t="s">
        <v>106</v>
      </c>
      <c r="B37" s="145" t="str">
        <f>IF(B36="","",((B36*'Input Sheet'!I6*'Input Sheet'!B5)*100))</f>
        <v/>
      </c>
      <c r="C37" s="132"/>
      <c r="D37" s="56"/>
      <c r="E37" s="380"/>
      <c r="H37" s="388"/>
      <c r="I37" s="396"/>
    </row>
    <row r="38" spans="1:9" ht="20.149999999999999" customHeight="1" x14ac:dyDescent="0.3">
      <c r="A38" s="199"/>
      <c r="B38" s="163"/>
      <c r="C38" s="163"/>
      <c r="D38" s="163"/>
      <c r="E38" s="368"/>
      <c r="F38" s="368"/>
      <c r="G38" s="368"/>
      <c r="H38" s="368"/>
      <c r="I38" s="368"/>
    </row>
    <row r="39" spans="1:9" ht="30" customHeight="1" x14ac:dyDescent="0.3">
      <c r="A39" s="172" t="s">
        <v>107</v>
      </c>
      <c r="B39" s="252"/>
      <c r="C39" s="57"/>
      <c r="D39" s="57"/>
    </row>
    <row r="40" spans="1:9" s="386" customFormat="1" ht="20.149999999999999" customHeight="1" x14ac:dyDescent="0.3">
      <c r="A40" s="91" t="s">
        <v>108</v>
      </c>
      <c r="B40" s="291" t="str">
        <f>IF(B24="","",(B24*'Input Sheet'!F28))</f>
        <v/>
      </c>
      <c r="C40" s="131"/>
      <c r="D40" s="131"/>
      <c r="E40" s="397"/>
      <c r="F40" s="397"/>
      <c r="G40" s="397"/>
      <c r="H40" s="397"/>
      <c r="I40" s="397"/>
    </row>
    <row r="41" spans="1:9" s="386" customFormat="1" ht="20.149999999999999" customHeight="1" x14ac:dyDescent="0.3">
      <c r="A41" s="77" t="s">
        <v>106</v>
      </c>
      <c r="B41" s="145" t="str">
        <f>IF(B40="","",((B40*10*'Input Sheet'!B5)*100))</f>
        <v/>
      </c>
      <c r="C41" s="56"/>
      <c r="D41" s="56"/>
    </row>
    <row r="42" spans="1:9" ht="20.149999999999999" customHeight="1" x14ac:dyDescent="0.3">
      <c r="A42" s="200"/>
      <c r="B42" s="57"/>
      <c r="C42" s="278"/>
      <c r="D42" s="57"/>
      <c r="E42" s="398"/>
      <c r="H42" s="399"/>
      <c r="I42" s="400"/>
    </row>
    <row r="43" spans="1:9" ht="30" customHeight="1" x14ac:dyDescent="0.3">
      <c r="A43" s="172" t="s">
        <v>223</v>
      </c>
      <c r="B43" s="299"/>
      <c r="C43" s="221"/>
      <c r="D43" s="163"/>
      <c r="E43" s="368"/>
      <c r="F43" s="368"/>
      <c r="G43" s="368"/>
      <c r="H43" s="368"/>
      <c r="I43" s="368"/>
    </row>
    <row r="44" spans="1:9" s="386" customFormat="1" ht="20.149999999999999" customHeight="1" x14ac:dyDescent="0.3">
      <c r="A44" s="91" t="s">
        <v>224</v>
      </c>
      <c r="B44" s="292" t="str">
        <f>IF(B25="","",(B25*'Input Sheet'!F28))</f>
        <v/>
      </c>
      <c r="C44" s="56"/>
      <c r="D44" s="56"/>
    </row>
    <row r="45" spans="1:9" s="386" customFormat="1" ht="20.149999999999999" customHeight="1" x14ac:dyDescent="0.3">
      <c r="A45" s="77" t="s">
        <v>106</v>
      </c>
      <c r="B45" s="145" t="str">
        <f>IF(B44="","",(B44/100*'Input Sheet'!B16*'Input Sheet'!B5))</f>
        <v/>
      </c>
      <c r="C45" s="131"/>
      <c r="D45" s="131"/>
      <c r="E45" s="397"/>
      <c r="F45" s="397"/>
      <c r="G45" s="397"/>
      <c r="H45" s="397"/>
      <c r="I45" s="397"/>
    </row>
    <row r="46" spans="1:9" ht="20.149999999999999" customHeight="1" x14ac:dyDescent="0.3">
      <c r="A46" s="200"/>
      <c r="B46" s="57"/>
      <c r="C46" s="57"/>
      <c r="D46" s="57"/>
    </row>
    <row r="47" spans="1:9" ht="38.25" customHeight="1" x14ac:dyDescent="0.3">
      <c r="A47" s="293" t="s">
        <v>109</v>
      </c>
      <c r="B47" s="273" t="str">
        <f>IF(AND((B37=""), (B41=""), (B45="")), "", (B37+B41+B45))</f>
        <v/>
      </c>
      <c r="C47" s="323" t="str">
        <f>IF(B47="", "Well Done! You do not have a gap in this area.", "")</f>
        <v>Well Done! You do not have a gap in this area.</v>
      </c>
      <c r="D47" s="248"/>
      <c r="E47" s="401"/>
      <c r="F47" s="402"/>
      <c r="G47" s="377"/>
      <c r="I47" s="400"/>
    </row>
    <row r="48" spans="1:9" ht="20.149999999999999" customHeight="1" x14ac:dyDescent="0.3">
      <c r="A48" s="57"/>
      <c r="B48" s="57"/>
      <c r="C48" s="57"/>
      <c r="D48" s="57"/>
    </row>
    <row r="49" spans="1:4" ht="20.149999999999999" customHeight="1" x14ac:dyDescent="0.3">
      <c r="A49" s="57"/>
      <c r="B49" s="57"/>
      <c r="C49" s="57"/>
      <c r="D49" s="57"/>
    </row>
    <row r="50" spans="1:4" x14ac:dyDescent="0.3">
      <c r="A50" s="272"/>
      <c r="B50" s="272"/>
      <c r="C50" s="272"/>
      <c r="D50" s="272"/>
    </row>
    <row r="51" spans="1:4" x14ac:dyDescent="0.3">
      <c r="A51" s="272"/>
      <c r="B51" s="272"/>
      <c r="C51" s="272"/>
      <c r="D51" s="272"/>
    </row>
    <row r="52" spans="1:4" x14ac:dyDescent="0.3">
      <c r="A52" s="272"/>
      <c r="B52" s="272"/>
      <c r="C52" s="272"/>
      <c r="D52" s="272"/>
    </row>
    <row r="53" spans="1:4" x14ac:dyDescent="0.3">
      <c r="A53" s="272"/>
      <c r="B53" s="272"/>
      <c r="C53" s="272"/>
      <c r="D53" s="272"/>
    </row>
  </sheetData>
  <sheetProtection sheet="1" objects="1" selectLockedCells="1"/>
  <mergeCells count="3">
    <mergeCell ref="A33:C33"/>
    <mergeCell ref="A27:B27"/>
    <mergeCell ref="A22:B22"/>
  </mergeCells>
  <printOptions horizontalCentered="1"/>
  <pageMargins left="0.5" right="0.5" top="0.5" bottom="0.5" header="0.5" footer="0.5"/>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29"/>
  <sheetViews>
    <sheetView topLeftCell="A7" zoomScaleNormal="100" workbookViewId="0">
      <selection activeCell="A3" sqref="A3"/>
    </sheetView>
  </sheetViews>
  <sheetFormatPr defaultColWidth="0" defaultRowHeight="14" zeroHeight="1" x14ac:dyDescent="0.3"/>
  <cols>
    <col min="1" max="1" width="26.33203125" style="306" customWidth="1"/>
    <col min="2" max="2" width="63.83203125" style="22" customWidth="1"/>
    <col min="3" max="3" width="0" hidden="1" customWidth="1"/>
    <col min="4" max="16384" width="9" hidden="1"/>
  </cols>
  <sheetData>
    <row r="1" spans="1:2" ht="60" customHeight="1" x14ac:dyDescent="0.3">
      <c r="A1" s="32" t="s">
        <v>225</v>
      </c>
      <c r="B1" s="23"/>
    </row>
    <row r="2" spans="1:2" ht="14.25" customHeight="1" x14ac:dyDescent="0.3">
      <c r="A2" s="312"/>
      <c r="B2" s="311"/>
    </row>
    <row r="3" spans="1:2" ht="37.5" x14ac:dyDescent="0.3">
      <c r="A3" s="308" t="s">
        <v>226</v>
      </c>
      <c r="B3" s="310" t="s">
        <v>227</v>
      </c>
    </row>
    <row r="4" spans="1:2" ht="25" x14ac:dyDescent="0.3">
      <c r="A4" s="303" t="s">
        <v>228</v>
      </c>
      <c r="B4" s="302" t="s">
        <v>229</v>
      </c>
    </row>
    <row r="5" spans="1:2" ht="87.5" x14ac:dyDescent="0.3">
      <c r="A5" s="308" t="s">
        <v>230</v>
      </c>
      <c r="B5" s="309" t="s">
        <v>231</v>
      </c>
    </row>
    <row r="6" spans="1:2" ht="50" x14ac:dyDescent="0.3">
      <c r="A6" s="303" t="s">
        <v>232</v>
      </c>
      <c r="B6" s="302" t="s">
        <v>233</v>
      </c>
    </row>
    <row r="7" spans="1:2" ht="37.5" x14ac:dyDescent="0.3">
      <c r="A7" s="308" t="s">
        <v>234</v>
      </c>
      <c r="B7" s="309" t="s">
        <v>235</v>
      </c>
    </row>
    <row r="8" spans="1:2" ht="37.5" x14ac:dyDescent="0.3">
      <c r="A8" s="303" t="s">
        <v>236</v>
      </c>
      <c r="B8" s="302" t="s">
        <v>237</v>
      </c>
    </row>
    <row r="9" spans="1:2" ht="25" x14ac:dyDescent="0.3">
      <c r="A9" s="308" t="s">
        <v>238</v>
      </c>
      <c r="B9" s="309" t="s">
        <v>239</v>
      </c>
    </row>
    <row r="10" spans="1:2" ht="25" x14ac:dyDescent="0.3">
      <c r="A10" s="303" t="s">
        <v>240</v>
      </c>
      <c r="B10" s="302" t="s">
        <v>241</v>
      </c>
    </row>
    <row r="11" spans="1:2" ht="25" x14ac:dyDescent="0.3">
      <c r="A11" s="308" t="s">
        <v>242</v>
      </c>
      <c r="B11" s="309" t="s">
        <v>243</v>
      </c>
    </row>
    <row r="12" spans="1:2" ht="25" x14ac:dyDescent="0.3">
      <c r="A12" s="303" t="s">
        <v>244</v>
      </c>
      <c r="B12" s="302" t="s">
        <v>245</v>
      </c>
    </row>
    <row r="13" spans="1:2" ht="28" x14ac:dyDescent="0.3">
      <c r="A13" s="308" t="s">
        <v>246</v>
      </c>
      <c r="B13" s="309" t="s">
        <v>247</v>
      </c>
    </row>
    <row r="14" spans="1:2" ht="37.5" x14ac:dyDescent="0.3">
      <c r="A14" s="303" t="s">
        <v>248</v>
      </c>
      <c r="B14" s="302" t="s">
        <v>249</v>
      </c>
    </row>
    <row r="15" spans="1:2" ht="50" x14ac:dyDescent="0.3">
      <c r="A15" s="308" t="s">
        <v>250</v>
      </c>
      <c r="B15" s="309" t="s">
        <v>251</v>
      </c>
    </row>
    <row r="16" spans="1:2" ht="37.5" x14ac:dyDescent="0.3">
      <c r="A16" s="303" t="s">
        <v>252</v>
      </c>
      <c r="B16" s="307" t="s">
        <v>253</v>
      </c>
    </row>
    <row r="17" spans="1:2" ht="25" x14ac:dyDescent="0.3">
      <c r="A17" s="308" t="s">
        <v>254</v>
      </c>
      <c r="B17" s="309" t="s">
        <v>255</v>
      </c>
    </row>
    <row r="18" spans="1:2" ht="28" x14ac:dyDescent="0.3">
      <c r="A18" s="303" t="s">
        <v>256</v>
      </c>
      <c r="B18" s="302" t="s">
        <v>257</v>
      </c>
    </row>
    <row r="19" spans="1:2" x14ac:dyDescent="0.3">
      <c r="A19" s="308" t="s">
        <v>258</v>
      </c>
      <c r="B19" s="309" t="s">
        <v>259</v>
      </c>
    </row>
    <row r="20" spans="1:2" ht="25" x14ac:dyDescent="0.3">
      <c r="A20" s="303" t="s">
        <v>260</v>
      </c>
      <c r="B20" s="302" t="s">
        <v>261</v>
      </c>
    </row>
    <row r="21" spans="1:2" x14ac:dyDescent="0.3">
      <c r="A21" s="304"/>
      <c r="B21" s="301"/>
    </row>
    <row r="22" spans="1:2" x14ac:dyDescent="0.3">
      <c r="A22" s="304"/>
      <c r="B22" s="301"/>
    </row>
    <row r="23" spans="1:2" x14ac:dyDescent="0.3">
      <c r="A23" s="304"/>
      <c r="B23" s="301"/>
    </row>
    <row r="24" spans="1:2" x14ac:dyDescent="0.3">
      <c r="A24" s="304"/>
      <c r="B24" s="301"/>
    </row>
    <row r="25" spans="1:2" x14ac:dyDescent="0.3">
      <c r="A25" s="305"/>
      <c r="B25" s="300"/>
    </row>
    <row r="26" spans="1:2" x14ac:dyDescent="0.3">
      <c r="A26" s="305"/>
      <c r="B26" s="300"/>
    </row>
    <row r="27" spans="1:2" x14ac:dyDescent="0.3">
      <c r="A27" s="305"/>
      <c r="B27" s="300"/>
    </row>
    <row r="28" spans="1:2" x14ac:dyDescent="0.3">
      <c r="A28" s="305"/>
      <c r="B28" s="300"/>
    </row>
    <row r="29" spans="1:2" ht="15.75" hidden="1" customHeight="1" x14ac:dyDescent="0.3"/>
  </sheetData>
  <sheetProtection selectLockedCells="1"/>
  <printOptions horizontalCentered="1"/>
  <pageMargins left="0.5" right="0.5" top="0.5" bottom="0.5" header="0.5" footer="0.5"/>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4"/>
  <sheetViews>
    <sheetView zoomScaleNormal="100" workbookViewId="0">
      <selection activeCell="A4" sqref="A4"/>
    </sheetView>
  </sheetViews>
  <sheetFormatPr defaultColWidth="0" defaultRowHeight="14" zeroHeight="1" x14ac:dyDescent="0.3"/>
  <cols>
    <col min="1" max="1" width="97" customWidth="1"/>
    <col min="2" max="2" width="3.33203125" customWidth="1"/>
    <col min="3" max="17" width="0" hidden="1" customWidth="1"/>
    <col min="18" max="16384" width="9" hidden="1"/>
  </cols>
  <sheetData>
    <row r="1" spans="1:17" ht="60" customHeight="1" x14ac:dyDescent="0.3">
      <c r="A1" s="32" t="s">
        <v>2</v>
      </c>
      <c r="B1" s="23"/>
    </row>
    <row r="2" spans="1:17" s="35" customFormat="1" ht="30" customHeight="1" x14ac:dyDescent="0.3">
      <c r="A2" s="38" t="s">
        <v>3</v>
      </c>
      <c r="B2" s="37"/>
      <c r="G2" s="36"/>
      <c r="H2" s="36"/>
      <c r="I2" s="36"/>
      <c r="J2" s="36"/>
      <c r="K2" s="36"/>
      <c r="L2" s="36"/>
      <c r="M2" s="36"/>
      <c r="N2" s="36"/>
      <c r="O2" s="36"/>
      <c r="P2" s="36"/>
      <c r="Q2" s="36"/>
    </row>
    <row r="3" spans="1:17" ht="120" customHeight="1" x14ac:dyDescent="0.3">
      <c r="A3" s="41" t="s">
        <v>4</v>
      </c>
      <c r="B3" s="42"/>
      <c r="G3" s="19"/>
      <c r="H3" s="19"/>
      <c r="I3" s="19"/>
      <c r="J3" s="19"/>
      <c r="K3" s="19"/>
      <c r="L3" s="19"/>
      <c r="M3" s="19"/>
      <c r="N3" s="19"/>
      <c r="O3" s="19"/>
      <c r="P3" s="19"/>
    </row>
    <row r="4" spans="1:17" ht="28" x14ac:dyDescent="0.3">
      <c r="A4" s="627" t="s">
        <v>5</v>
      </c>
      <c r="B4" s="43"/>
      <c r="C4" s="21"/>
      <c r="G4" s="20"/>
    </row>
    <row r="5" spans="1:17" ht="28" x14ac:dyDescent="0.3">
      <c r="A5" s="44" t="s">
        <v>6</v>
      </c>
      <c r="B5" s="45"/>
      <c r="C5" s="21"/>
      <c r="G5" s="20"/>
    </row>
    <row r="6" spans="1:17" s="35" customFormat="1" ht="30" customHeight="1" x14ac:dyDescent="0.3">
      <c r="A6" s="39" t="s">
        <v>7</v>
      </c>
      <c r="B6" s="34"/>
      <c r="G6" s="36"/>
      <c r="H6" s="36"/>
      <c r="I6" s="36"/>
      <c r="J6" s="36"/>
      <c r="K6" s="36"/>
      <c r="L6" s="36"/>
      <c r="M6" s="36"/>
      <c r="N6" s="36"/>
      <c r="O6" s="36"/>
      <c r="P6" s="36"/>
    </row>
    <row r="7" spans="1:17" ht="28" x14ac:dyDescent="0.3">
      <c r="A7" s="46" t="s">
        <v>8</v>
      </c>
      <c r="B7" s="47"/>
    </row>
    <row r="8" spans="1:17" ht="126" x14ac:dyDescent="0.3">
      <c r="A8" s="48" t="s">
        <v>268</v>
      </c>
      <c r="B8" s="49"/>
    </row>
    <row r="9" spans="1:17" ht="42" x14ac:dyDescent="0.3">
      <c r="A9" s="46" t="s">
        <v>9</v>
      </c>
      <c r="B9" s="47"/>
    </row>
    <row r="10" spans="1:17" ht="112" x14ac:dyDescent="0.3">
      <c r="A10" s="50" t="s">
        <v>10</v>
      </c>
      <c r="B10" s="51"/>
    </row>
    <row r="11" spans="1:17" ht="43" customHeight="1" x14ac:dyDescent="0.3">
      <c r="A11" s="428" t="s">
        <v>11</v>
      </c>
      <c r="B11" s="47"/>
    </row>
    <row r="12" spans="1:17" x14ac:dyDescent="0.3">
      <c r="A12" s="438" t="s">
        <v>12</v>
      </c>
      <c r="B12" s="51"/>
    </row>
    <row r="13" spans="1:17" ht="100.5" x14ac:dyDescent="0.3">
      <c r="A13" s="434" t="s">
        <v>13</v>
      </c>
      <c r="B13" s="47"/>
    </row>
    <row r="14" spans="1:17" x14ac:dyDescent="0.3">
      <c r="A14" s="33"/>
      <c r="B14" s="24"/>
    </row>
    <row r="15" spans="1:17" x14ac:dyDescent="0.3">
      <c r="A15" s="24"/>
      <c r="B15" s="24"/>
    </row>
    <row r="16" spans="1:17" x14ac:dyDescent="0.3">
      <c r="A16" s="420" t="s">
        <v>262</v>
      </c>
      <c r="B16" s="24"/>
    </row>
    <row r="17" spans="1:2" x14ac:dyDescent="0.3">
      <c r="A17" s="24"/>
      <c r="B17" s="24"/>
    </row>
    <row r="18" spans="1:2" x14ac:dyDescent="0.3">
      <c r="A18" s="24"/>
      <c r="B18" s="24"/>
    </row>
    <row r="19" spans="1:2" x14ac:dyDescent="0.3">
      <c r="A19" s="24"/>
      <c r="B19" s="24"/>
    </row>
    <row r="20" spans="1:2" x14ac:dyDescent="0.3">
      <c r="A20" s="24"/>
      <c r="B20" s="24"/>
    </row>
    <row r="21" spans="1:2" x14ac:dyDescent="0.3">
      <c r="A21" s="29"/>
      <c r="B21" s="29"/>
    </row>
    <row r="22" spans="1:2" x14ac:dyDescent="0.3">
      <c r="A22" s="29"/>
      <c r="B22" s="29"/>
    </row>
    <row r="23" spans="1:2" x14ac:dyDescent="0.3">
      <c r="A23" s="29"/>
      <c r="B23" s="29"/>
    </row>
    <row r="24" spans="1:2" x14ac:dyDescent="0.3">
      <c r="A24" s="29"/>
      <c r="B24" s="29"/>
    </row>
  </sheetData>
  <sheetProtection sheet="1" selectLockedCells="1"/>
  <hyperlinks>
    <hyperlink ref="A4:B4" r:id="rId1" display="Click Here to view the Herd Assessment Pack PDF Tools" xr:uid="{00000000-0004-0000-0100-000000000000}"/>
  </hyperlinks>
  <printOptions horizontalCentered="1"/>
  <pageMargins left="0.5" right="0.5" top="0.5" bottom="0.5" header="0.5" footer="0.5"/>
  <pageSetup paperSize="9" scale="85"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1"/>
  <sheetViews>
    <sheetView tabSelected="1" zoomScaleNormal="100" workbookViewId="0">
      <selection activeCell="B5" sqref="B5"/>
    </sheetView>
  </sheetViews>
  <sheetFormatPr defaultColWidth="0" defaultRowHeight="14" zeroHeight="1" x14ac:dyDescent="0.3"/>
  <cols>
    <col min="1" max="1" width="47.5" style="530" customWidth="1"/>
    <col min="2" max="2" width="18.58203125" style="6" customWidth="1"/>
    <col min="3" max="4" width="3.08203125" style="523" customWidth="1"/>
    <col min="5" max="5" width="40.6640625" style="530" customWidth="1"/>
    <col min="6" max="6" width="25.33203125" style="531" customWidth="1"/>
    <col min="7" max="16384" width="25.33203125" hidden="1"/>
  </cols>
  <sheetData>
    <row r="1" spans="1:10" ht="60" customHeight="1" x14ac:dyDescent="0.3">
      <c r="A1" s="32" t="s">
        <v>14</v>
      </c>
      <c r="B1" s="463"/>
      <c r="C1" s="464"/>
      <c r="D1" s="464"/>
      <c r="E1" s="465"/>
      <c r="F1" s="466"/>
    </row>
    <row r="2" spans="1:10" s="57" customFormat="1" ht="20.149999999999999" customHeight="1" x14ac:dyDescent="0.3">
      <c r="A2" s="467"/>
      <c r="B2" s="468"/>
      <c r="C2" s="469"/>
      <c r="D2" s="469"/>
      <c r="E2" s="470"/>
      <c r="F2" s="468"/>
      <c r="H2" s="471"/>
      <c r="I2" s="471"/>
    </row>
    <row r="3" spans="1:10" s="475" customFormat="1" ht="20.149999999999999" customHeight="1" x14ac:dyDescent="0.3">
      <c r="A3" s="472" t="s">
        <v>15</v>
      </c>
      <c r="B3" s="473"/>
      <c r="C3" s="474"/>
      <c r="D3" s="474"/>
      <c r="E3" s="629" t="s">
        <v>16</v>
      </c>
      <c r="F3" s="630"/>
      <c r="H3" s="476"/>
      <c r="I3" s="476"/>
    </row>
    <row r="4" spans="1:10" s="58" customFormat="1" ht="20.149999999999999" customHeight="1" x14ac:dyDescent="0.3">
      <c r="A4" s="477" t="s">
        <v>17</v>
      </c>
      <c r="B4" s="324" t="s">
        <v>18</v>
      </c>
      <c r="C4" s="478"/>
      <c r="D4" s="478"/>
      <c r="E4" s="479" t="s">
        <v>19</v>
      </c>
      <c r="F4" s="320" t="s">
        <v>118</v>
      </c>
      <c r="H4" s="480"/>
      <c r="I4" s="58" t="s">
        <v>20</v>
      </c>
    </row>
    <row r="5" spans="1:10" s="58" customFormat="1" ht="20.149999999999999" customHeight="1" x14ac:dyDescent="0.3">
      <c r="A5" s="481" t="s">
        <v>269</v>
      </c>
      <c r="B5" s="325"/>
      <c r="C5" s="482"/>
      <c r="D5" s="56"/>
      <c r="E5" s="483" t="s">
        <v>21</v>
      </c>
      <c r="F5" s="316"/>
      <c r="H5" s="8"/>
      <c r="I5" s="58" t="s">
        <v>18</v>
      </c>
    </row>
    <row r="6" spans="1:10" s="58" customFormat="1" ht="20.149999999999999" customHeight="1" x14ac:dyDescent="0.3">
      <c r="A6" s="481" t="s">
        <v>22</v>
      </c>
      <c r="B6" s="326"/>
      <c r="C6" s="56"/>
      <c r="D6" s="56"/>
      <c r="E6" s="483" t="s">
        <v>23</v>
      </c>
      <c r="F6" s="484">
        <f>(B29)</f>
        <v>0</v>
      </c>
      <c r="G6" s="485"/>
      <c r="H6" s="8"/>
      <c r="I6" s="58">
        <f>IF(B4="Yes", 2, 4)</f>
        <v>4</v>
      </c>
    </row>
    <row r="7" spans="1:10" s="58" customFormat="1" ht="20.149999999999999" customHeight="1" x14ac:dyDescent="0.3">
      <c r="A7" s="481" t="s">
        <v>24</v>
      </c>
      <c r="B7" s="326"/>
      <c r="C7" s="56"/>
      <c r="D7" s="56"/>
      <c r="E7" s="483" t="s">
        <v>25</v>
      </c>
      <c r="F7" s="432">
        <v>0.1</v>
      </c>
      <c r="H7" s="8"/>
    </row>
    <row r="8" spans="1:10" s="58" customFormat="1" ht="20.149999999999999" customHeight="1" x14ac:dyDescent="0.3">
      <c r="A8" s="481" t="s">
        <v>26</v>
      </c>
      <c r="B8" s="486">
        <f>(B5-B7)</f>
        <v>0</v>
      </c>
      <c r="C8" s="634"/>
      <c r="D8" s="56"/>
      <c r="E8" s="487" t="s">
        <v>27</v>
      </c>
      <c r="F8" s="433">
        <v>0.05</v>
      </c>
      <c r="H8" s="8"/>
      <c r="I8" s="58" t="s">
        <v>28</v>
      </c>
    </row>
    <row r="9" spans="1:10" s="58" customFormat="1" ht="20.149999999999999" customHeight="1" x14ac:dyDescent="0.3">
      <c r="A9" s="453" t="s">
        <v>29</v>
      </c>
      <c r="B9" s="327"/>
      <c r="C9" s="634"/>
      <c r="D9" s="56"/>
      <c r="E9" s="470"/>
      <c r="F9" s="468"/>
      <c r="H9" s="8"/>
      <c r="I9" s="58" t="s">
        <v>30</v>
      </c>
    </row>
    <row r="10" spans="1:10" s="58" customFormat="1" ht="20.149999999999999" customHeight="1" x14ac:dyDescent="0.3">
      <c r="A10" s="453" t="s">
        <v>31</v>
      </c>
      <c r="B10" s="327"/>
      <c r="C10" s="634"/>
      <c r="D10" s="56"/>
      <c r="E10" s="488" t="s">
        <v>32</v>
      </c>
      <c r="F10" s="489"/>
      <c r="H10" s="8"/>
      <c r="I10" s="58" t="s">
        <v>33</v>
      </c>
    </row>
    <row r="11" spans="1:10" s="58" customFormat="1" ht="20.149999999999999" customHeight="1" x14ac:dyDescent="0.3">
      <c r="A11" s="453" t="s">
        <v>34</v>
      </c>
      <c r="B11" s="328"/>
      <c r="C11" s="56"/>
      <c r="D11" s="56"/>
      <c r="E11" s="490" t="s">
        <v>35</v>
      </c>
      <c r="F11" s="460"/>
      <c r="H11" s="8"/>
    </row>
    <row r="12" spans="1:10" s="58" customFormat="1" ht="20.149999999999999" customHeight="1" x14ac:dyDescent="0.3">
      <c r="A12" s="453" t="s">
        <v>36</v>
      </c>
      <c r="B12" s="431">
        <v>0.78</v>
      </c>
      <c r="C12" s="56"/>
      <c r="D12" s="56"/>
      <c r="E12" s="491" t="s">
        <v>37</v>
      </c>
      <c r="F12" s="461"/>
      <c r="H12" s="492"/>
      <c r="J12" s="58" t="s">
        <v>265</v>
      </c>
    </row>
    <row r="13" spans="1:10" s="58" customFormat="1" ht="20.149999999999999" customHeight="1" x14ac:dyDescent="0.3">
      <c r="A13" s="453" t="s">
        <v>38</v>
      </c>
      <c r="B13" s="328"/>
      <c r="C13" s="56"/>
      <c r="D13" s="56"/>
      <c r="E13" s="491" t="s">
        <v>39</v>
      </c>
      <c r="F13" s="461"/>
      <c r="H13" s="492"/>
      <c r="J13" s="58" t="s">
        <v>40</v>
      </c>
    </row>
    <row r="14" spans="1:10" s="58" customFormat="1" ht="20.149999999999999" customHeight="1" x14ac:dyDescent="0.3">
      <c r="A14" s="453" t="s">
        <v>41</v>
      </c>
      <c r="B14" s="431">
        <v>0.11</v>
      </c>
      <c r="C14" s="54"/>
      <c r="D14" s="54"/>
      <c r="E14" s="539" t="s">
        <v>28</v>
      </c>
      <c r="F14" s="461"/>
      <c r="G14" s="493"/>
      <c r="H14" s="8"/>
      <c r="J14" s="58" t="s">
        <v>42</v>
      </c>
    </row>
    <row r="15" spans="1:10" s="58" customFormat="1" ht="20.149999999999999" customHeight="1" x14ac:dyDescent="0.3">
      <c r="A15" s="453" t="s">
        <v>43</v>
      </c>
      <c r="B15" s="329"/>
      <c r="C15" s="56"/>
      <c r="D15" s="59"/>
      <c r="E15" s="491" t="s">
        <v>44</v>
      </c>
      <c r="F15" s="461"/>
      <c r="G15" s="485"/>
      <c r="H15" s="8"/>
      <c r="I15" s="58" t="s">
        <v>265</v>
      </c>
      <c r="J15" s="58" t="s">
        <v>45</v>
      </c>
    </row>
    <row r="16" spans="1:10" s="58" customFormat="1" ht="20.149999999999999" customHeight="1" x14ac:dyDescent="0.3">
      <c r="A16" s="481" t="s">
        <v>46</v>
      </c>
      <c r="B16" s="416"/>
      <c r="C16" s="56"/>
      <c r="D16" s="56"/>
      <c r="E16" s="494" t="s">
        <v>47</v>
      </c>
      <c r="F16" s="462"/>
      <c r="H16" s="8"/>
      <c r="I16" s="58">
        <v>3</v>
      </c>
    </row>
    <row r="17" spans="1:9" s="58" customFormat="1" ht="20.149999999999999" customHeight="1" x14ac:dyDescent="0.3">
      <c r="A17" s="495" t="s">
        <v>48</v>
      </c>
      <c r="B17" s="417" t="s">
        <v>265</v>
      </c>
      <c r="C17" s="56"/>
      <c r="D17" s="56"/>
      <c r="E17" s="496"/>
      <c r="F17" s="55"/>
      <c r="G17" s="485"/>
      <c r="H17" s="492"/>
      <c r="I17" s="58">
        <v>6</v>
      </c>
    </row>
    <row r="18" spans="1:9" s="58" customFormat="1" ht="20.149999999999999" customHeight="1" x14ac:dyDescent="0.3">
      <c r="A18" s="496"/>
      <c r="B18" s="497"/>
      <c r="C18" s="56"/>
      <c r="D18" s="54"/>
      <c r="E18" s="498" t="s">
        <v>49</v>
      </c>
      <c r="F18" s="499"/>
      <c r="H18" s="8"/>
      <c r="I18" s="58">
        <v>9</v>
      </c>
    </row>
    <row r="19" spans="1:9" s="58" customFormat="1" ht="20.149999999999999" customHeight="1" x14ac:dyDescent="0.3">
      <c r="A19" s="635" t="s">
        <v>50</v>
      </c>
      <c r="B19" s="636"/>
      <c r="C19" s="54"/>
      <c r="D19" s="59"/>
      <c r="E19" s="500" t="s">
        <v>51</v>
      </c>
      <c r="F19" s="317"/>
      <c r="H19" s="501"/>
      <c r="I19" s="58">
        <v>12</v>
      </c>
    </row>
    <row r="20" spans="1:9" s="58" customFormat="1" ht="20.149999999999999" customHeight="1" x14ac:dyDescent="0.3">
      <c r="A20" s="454" t="s">
        <v>52</v>
      </c>
      <c r="B20" s="413"/>
      <c r="C20" s="56"/>
      <c r="D20" s="56"/>
      <c r="E20" s="502" t="s">
        <v>53</v>
      </c>
      <c r="F20" s="318"/>
      <c r="H20" s="501"/>
      <c r="I20" s="58">
        <v>15</v>
      </c>
    </row>
    <row r="21" spans="1:9" s="58" customFormat="1" ht="20.149999999999999" customHeight="1" x14ac:dyDescent="0.3">
      <c r="A21" s="503" t="s">
        <v>54</v>
      </c>
      <c r="B21" s="414"/>
      <c r="C21" s="56"/>
      <c r="D21" s="56"/>
      <c r="E21" s="502" t="s">
        <v>55</v>
      </c>
      <c r="F21" s="318"/>
      <c r="H21" s="492"/>
      <c r="I21" s="58">
        <v>18</v>
      </c>
    </row>
    <row r="22" spans="1:9" s="58" customFormat="1" ht="20.149999999999999" customHeight="1" x14ac:dyDescent="0.3">
      <c r="A22" s="504" t="s">
        <v>56</v>
      </c>
      <c r="B22" s="435">
        <v>0.05</v>
      </c>
      <c r="C22" s="56"/>
      <c r="D22" s="54"/>
      <c r="E22" s="505" t="s">
        <v>57</v>
      </c>
      <c r="F22" s="319"/>
      <c r="H22" s="501"/>
      <c r="I22" s="58">
        <v>22</v>
      </c>
    </row>
    <row r="23" spans="1:9" s="58" customFormat="1" ht="20.149999999999999" customHeight="1" x14ac:dyDescent="0.3">
      <c r="A23" s="506"/>
      <c r="B23" s="455"/>
      <c r="C23" s="54"/>
      <c r="D23" s="59"/>
      <c r="E23" s="496"/>
      <c r="F23" s="55"/>
      <c r="H23" s="501"/>
    </row>
    <row r="24" spans="1:9" s="58" customFormat="1" ht="20.149999999999999" customHeight="1" x14ac:dyDescent="0.3">
      <c r="A24" s="637" t="s">
        <v>58</v>
      </c>
      <c r="B24" s="638"/>
      <c r="C24" s="54"/>
      <c r="D24" s="59"/>
      <c r="E24" s="507" t="s">
        <v>59</v>
      </c>
      <c r="F24" s="508"/>
      <c r="H24" s="501"/>
    </row>
    <row r="25" spans="1:9" s="58" customFormat="1" ht="20.149999999999999" customHeight="1" x14ac:dyDescent="0.3">
      <c r="A25" s="456" t="s">
        <v>60</v>
      </c>
      <c r="B25" s="415"/>
      <c r="C25" s="56"/>
      <c r="D25" s="56"/>
      <c r="E25" s="509" t="s">
        <v>61</v>
      </c>
      <c r="F25" s="314"/>
      <c r="H25" s="8"/>
    </row>
    <row r="26" spans="1:9" s="58" customFormat="1" ht="20.149999999999999" customHeight="1" x14ac:dyDescent="0.3">
      <c r="A26" s="510" t="s">
        <v>62</v>
      </c>
      <c r="B26" s="436">
        <v>0.95</v>
      </c>
      <c r="C26" s="56"/>
      <c r="D26" s="56"/>
      <c r="E26" s="511" t="s">
        <v>63</v>
      </c>
      <c r="F26" s="314" t="s">
        <v>265</v>
      </c>
      <c r="H26" s="501"/>
    </row>
    <row r="27" spans="1:9" s="58" customFormat="1" ht="20.149999999999999" customHeight="1" x14ac:dyDescent="0.3">
      <c r="A27" s="506"/>
      <c r="B27" s="512"/>
      <c r="C27" s="56"/>
      <c r="D27" s="56"/>
      <c r="E27" s="511" t="s">
        <v>64</v>
      </c>
      <c r="F27" s="314"/>
      <c r="H27" s="501"/>
    </row>
    <row r="28" spans="1:9" s="58" customFormat="1" ht="20.149999999999999" customHeight="1" x14ac:dyDescent="0.3">
      <c r="A28" s="629" t="s">
        <v>65</v>
      </c>
      <c r="B28" s="630"/>
      <c r="C28" s="56"/>
      <c r="D28" s="56"/>
      <c r="E28" s="513" t="s">
        <v>66</v>
      </c>
      <c r="F28" s="437">
        <v>0.25</v>
      </c>
      <c r="H28" s="501"/>
    </row>
    <row r="29" spans="1:9" s="58" customFormat="1" ht="20.149999999999999" customHeight="1" x14ac:dyDescent="0.3">
      <c r="A29" s="479" t="s">
        <v>67</v>
      </c>
      <c r="B29" s="315"/>
      <c r="C29" s="56"/>
      <c r="D29" s="54"/>
      <c r="E29" s="57"/>
      <c r="F29" s="57"/>
      <c r="H29" s="492"/>
    </row>
    <row r="30" spans="1:9" s="58" customFormat="1" ht="20.149999999999999" customHeight="1" x14ac:dyDescent="0.3">
      <c r="A30" s="514" t="s">
        <v>68</v>
      </c>
      <c r="B30" s="419"/>
      <c r="C30" s="54"/>
      <c r="D30" s="59"/>
      <c r="E30" s="496"/>
      <c r="F30" s="55"/>
      <c r="H30" s="515"/>
    </row>
    <row r="31" spans="1:9" s="58" customFormat="1" ht="20.149999999999999" customHeight="1" x14ac:dyDescent="0.3">
      <c r="A31" s="496"/>
      <c r="B31" s="55"/>
      <c r="C31" s="56"/>
      <c r="D31" s="56"/>
      <c r="E31" s="518"/>
      <c r="F31" s="55"/>
      <c r="H31" s="8"/>
    </row>
    <row r="32" spans="1:9" s="58" customFormat="1" ht="20.149999999999999" customHeight="1" x14ac:dyDescent="0.3">
      <c r="A32" s="516"/>
      <c r="B32" s="66"/>
      <c r="C32" s="56"/>
      <c r="D32" s="517"/>
      <c r="E32" s="632" t="s">
        <v>264</v>
      </c>
      <c r="F32" s="633"/>
      <c r="H32" s="8"/>
    </row>
    <row r="33" spans="1:8" s="58" customFormat="1" ht="20.149999999999999" customHeight="1" x14ac:dyDescent="0.3">
      <c r="A33" s="519" t="str">
        <f>Instructions!A16</f>
        <v xml:space="preserve">   Updated Sep 2024</v>
      </c>
      <c r="B33" s="57"/>
      <c r="C33" s="520"/>
      <c r="D33" s="54"/>
      <c r="E33" s="631" t="s">
        <v>263</v>
      </c>
      <c r="F33" s="631"/>
      <c r="G33" s="485"/>
      <c r="H33" s="8"/>
    </row>
    <row r="34" spans="1:8" s="58" customFormat="1" ht="20.149999999999999" customHeight="1" x14ac:dyDescent="0.3">
      <c r="A34" s="516"/>
      <c r="B34" s="66"/>
      <c r="C34" s="520"/>
      <c r="D34" s="59"/>
      <c r="E34" s="496"/>
      <c r="F34" s="55"/>
      <c r="H34" s="515"/>
    </row>
    <row r="35" spans="1:8" s="58" customFormat="1" ht="20.149999999999999" hidden="1" customHeight="1" x14ac:dyDescent="0.3">
      <c r="A35" s="57"/>
      <c r="B35" s="66"/>
      <c r="C35" s="57"/>
      <c r="D35" s="57"/>
      <c r="E35" s="57"/>
      <c r="F35" s="66"/>
      <c r="G35" s="485"/>
      <c r="H35" s="8"/>
    </row>
    <row r="36" spans="1:8" s="58" customFormat="1" ht="20.149999999999999" hidden="1" customHeight="1" x14ac:dyDescent="0.3">
      <c r="A36" s="57"/>
      <c r="B36" s="66"/>
      <c r="C36" s="57"/>
      <c r="D36" s="57"/>
      <c r="E36" s="57"/>
      <c r="F36" s="66"/>
      <c r="H36" s="8"/>
    </row>
    <row r="37" spans="1:8" s="58" customFormat="1" ht="20.149999999999999" hidden="1" customHeight="1" x14ac:dyDescent="0.3">
      <c r="A37" s="57"/>
      <c r="B37" s="66"/>
      <c r="C37" s="57"/>
      <c r="D37" s="57"/>
      <c r="E37" s="57"/>
      <c r="F37" s="66"/>
      <c r="H37" s="8"/>
    </row>
    <row r="38" spans="1:8" s="58" customFormat="1" ht="14.25" hidden="1" customHeight="1" x14ac:dyDescent="0.3">
      <c r="A38" s="57"/>
      <c r="B38" s="66"/>
      <c r="C38" s="57"/>
      <c r="D38" s="57"/>
      <c r="E38" s="57"/>
      <c r="F38" s="66"/>
      <c r="H38" s="8"/>
    </row>
    <row r="39" spans="1:8" s="58" customFormat="1" ht="14.25" hidden="1" customHeight="1" x14ac:dyDescent="0.3">
      <c r="A39" s="521"/>
      <c r="B39" s="55"/>
      <c r="C39" s="31"/>
      <c r="D39" s="517"/>
      <c r="E39" s="522"/>
      <c r="F39" s="55"/>
      <c r="H39" s="8"/>
    </row>
    <row r="40" spans="1:8" s="58" customFormat="1" ht="14.25" hidden="1" customHeight="1" x14ac:dyDescent="0.25">
      <c r="A40" s="521"/>
      <c r="B40" s="55"/>
      <c r="C40" s="31"/>
      <c r="D40" s="31"/>
      <c r="E40" s="496"/>
      <c r="F40" s="55"/>
      <c r="H40" s="8"/>
    </row>
    <row r="41" spans="1:8" s="58" customFormat="1" ht="14.25" hidden="1" customHeight="1" x14ac:dyDescent="0.25">
      <c r="A41" s="521"/>
      <c r="B41" s="55"/>
      <c r="C41" s="31"/>
      <c r="D41" s="517"/>
      <c r="E41" s="496"/>
      <c r="F41" s="55"/>
      <c r="H41" s="515"/>
    </row>
    <row r="42" spans="1:8" ht="15" hidden="1" customHeight="1" x14ac:dyDescent="0.3">
      <c r="A42" s="521"/>
      <c r="B42" s="55"/>
      <c r="C42" s="31"/>
      <c r="D42" s="517"/>
      <c r="E42" s="496"/>
      <c r="F42" s="55"/>
      <c r="H42" s="523"/>
    </row>
    <row r="43" spans="1:8" hidden="1" x14ac:dyDescent="0.3">
      <c r="A43" s="521"/>
      <c r="B43" s="55"/>
      <c r="C43" s="31"/>
      <c r="D43" s="31"/>
      <c r="E43" s="457"/>
      <c r="F43" s="55"/>
      <c r="H43" s="524"/>
    </row>
    <row r="44" spans="1:8" hidden="1" x14ac:dyDescent="0.3">
      <c r="A44" s="521"/>
      <c r="B44" s="55"/>
      <c r="C44" s="31"/>
      <c r="D44" s="31"/>
      <c r="E44" s="458"/>
      <c r="F44" s="55"/>
      <c r="H44" s="523"/>
    </row>
    <row r="45" spans="1:8" hidden="1" x14ac:dyDescent="0.3">
      <c r="A45" s="521"/>
      <c r="B45" s="55"/>
      <c r="C45" s="31"/>
      <c r="D45" s="31"/>
      <c r="E45" s="496"/>
      <c r="F45" s="55"/>
      <c r="H45" s="501"/>
    </row>
    <row r="46" spans="1:8" hidden="1" x14ac:dyDescent="0.3">
      <c r="A46" s="521"/>
      <c r="B46" s="55"/>
      <c r="C46" s="31"/>
      <c r="D46" s="31"/>
      <c r="E46" s="521"/>
      <c r="F46" s="525"/>
      <c r="H46" s="524"/>
    </row>
    <row r="47" spans="1:8" hidden="1" x14ac:dyDescent="0.3">
      <c r="A47" s="521"/>
      <c r="B47" s="55"/>
      <c r="C47" s="31"/>
      <c r="D47" s="31"/>
      <c r="E47" s="521"/>
      <c r="F47" s="525"/>
      <c r="H47" s="526"/>
    </row>
    <row r="48" spans="1:8" hidden="1" x14ac:dyDescent="0.3">
      <c r="A48" s="521"/>
      <c r="B48" s="55"/>
      <c r="C48" s="31"/>
      <c r="D48" s="31"/>
      <c r="E48" s="521"/>
      <c r="F48" s="525"/>
      <c r="H48" s="524"/>
    </row>
    <row r="49" spans="1:8" hidden="1" x14ac:dyDescent="0.3">
      <c r="A49" s="521"/>
      <c r="B49" s="55"/>
      <c r="C49" s="31"/>
      <c r="D49" s="31"/>
      <c r="E49" s="521"/>
      <c r="F49" s="525"/>
      <c r="H49" s="524"/>
    </row>
    <row r="50" spans="1:8" hidden="1" x14ac:dyDescent="0.3">
      <c r="A50" s="521"/>
      <c r="B50" s="55"/>
      <c r="C50" s="31"/>
      <c r="D50" s="31"/>
      <c r="E50" s="521"/>
      <c r="F50" s="525"/>
      <c r="H50" s="523"/>
    </row>
    <row r="51" spans="1:8" x14ac:dyDescent="0.3">
      <c r="A51" s="521"/>
      <c r="B51" s="55"/>
      <c r="C51" s="31"/>
      <c r="D51" s="31"/>
      <c r="E51" s="521"/>
      <c r="F51" s="525"/>
      <c r="H51" s="501"/>
    </row>
    <row r="52" spans="1:8" x14ac:dyDescent="0.3">
      <c r="A52" s="521"/>
      <c r="B52" s="55"/>
      <c r="C52" s="31"/>
      <c r="D52" s="31"/>
      <c r="E52" s="521"/>
      <c r="F52" s="525"/>
      <c r="H52" s="524"/>
    </row>
    <row r="53" spans="1:8" x14ac:dyDescent="0.3">
      <c r="A53" s="527"/>
      <c r="B53" s="67"/>
      <c r="C53" s="60"/>
      <c r="D53" s="60"/>
      <c r="E53" s="61"/>
      <c r="F53" s="528"/>
    </row>
    <row r="54" spans="1:8" x14ac:dyDescent="0.3">
      <c r="A54" s="527"/>
      <c r="B54" s="67"/>
      <c r="C54" s="60"/>
      <c r="D54" s="63"/>
      <c r="E54" s="64"/>
      <c r="F54" s="69"/>
    </row>
    <row r="55" spans="1:8" x14ac:dyDescent="0.3">
      <c r="A55" s="529"/>
      <c r="B55" s="68"/>
      <c r="C55" s="60"/>
      <c r="D55" s="63"/>
      <c r="E55" s="65"/>
      <c r="F55" s="68"/>
    </row>
    <row r="56" spans="1:8" ht="14.25" customHeight="1" x14ac:dyDescent="0.3">
      <c r="A56" s="529"/>
      <c r="B56" s="68"/>
      <c r="C56" s="60"/>
      <c r="D56" s="63"/>
      <c r="E56" s="65" t="s">
        <v>69</v>
      </c>
      <c r="F56" s="68"/>
    </row>
    <row r="57" spans="1:8" ht="14.25" hidden="1" customHeight="1" x14ac:dyDescent="0.3">
      <c r="D57" s="53"/>
    </row>
    <row r="58" spans="1:8" ht="14.25" hidden="1" customHeight="1" x14ac:dyDescent="0.3">
      <c r="C58" s="53"/>
      <c r="D58" s="532"/>
    </row>
    <row r="59" spans="1:8" ht="14.25" hidden="1" customHeight="1" x14ac:dyDescent="0.3"/>
    <row r="60" spans="1:8" hidden="1" x14ac:dyDescent="0.3">
      <c r="D60" s="501"/>
      <c r="E60" s="533"/>
      <c r="F60" s="534"/>
    </row>
    <row r="61" spans="1:8" hidden="1" x14ac:dyDescent="0.3">
      <c r="D61" s="501"/>
    </row>
    <row r="62" spans="1:8" hidden="1" x14ac:dyDescent="0.3">
      <c r="D62" s="501"/>
      <c r="E62" s="459"/>
      <c r="F62" s="6"/>
    </row>
    <row r="63" spans="1:8" hidden="1" x14ac:dyDescent="0.3">
      <c r="D63" s="501"/>
      <c r="E63" s="535"/>
      <c r="F63" s="6"/>
    </row>
    <row r="64" spans="1:8" hidden="1" x14ac:dyDescent="0.3">
      <c r="C64" s="524"/>
      <c r="D64" s="53"/>
      <c r="E64" s="536"/>
      <c r="F64" s="6"/>
    </row>
    <row r="65" spans="1:6" hidden="1" x14ac:dyDescent="0.3">
      <c r="C65" s="53"/>
      <c r="D65" s="532"/>
      <c r="E65" s="537"/>
      <c r="F65" s="6"/>
    </row>
    <row r="66" spans="1:6" hidden="1" x14ac:dyDescent="0.3">
      <c r="E66" s="506"/>
      <c r="F66" s="6"/>
    </row>
    <row r="67" spans="1:6" hidden="1" x14ac:dyDescent="0.3">
      <c r="D67" s="501"/>
      <c r="E67" s="533"/>
      <c r="F67" s="534"/>
    </row>
    <row r="68" spans="1:6" hidden="1" x14ac:dyDescent="0.3">
      <c r="D68" s="501"/>
    </row>
    <row r="69" spans="1:6" hidden="1" x14ac:dyDescent="0.3">
      <c r="D69" s="501"/>
      <c r="E69" s="459"/>
      <c r="F69" s="6"/>
    </row>
    <row r="70" spans="1:6" hidden="1" x14ac:dyDescent="0.3">
      <c r="D70" s="501"/>
      <c r="E70" s="535"/>
      <c r="F70" s="6"/>
    </row>
    <row r="71" spans="1:6" hidden="1" x14ac:dyDescent="0.3">
      <c r="C71" s="524"/>
      <c r="D71" s="501"/>
      <c r="E71" s="536"/>
      <c r="F71" s="6"/>
    </row>
    <row r="72" spans="1:6" hidden="1" x14ac:dyDescent="0.3">
      <c r="C72" s="524"/>
      <c r="E72" s="537"/>
      <c r="F72" s="6"/>
    </row>
    <row r="73" spans="1:6" hidden="1" x14ac:dyDescent="0.3">
      <c r="E73" s="506"/>
      <c r="F73" s="6"/>
    </row>
    <row r="74" spans="1:6" hidden="1" x14ac:dyDescent="0.3">
      <c r="E74" s="459"/>
      <c r="F74" s="6"/>
    </row>
    <row r="75" spans="1:6" hidden="1" x14ac:dyDescent="0.3">
      <c r="E75" s="535"/>
      <c r="F75" s="6"/>
    </row>
    <row r="76" spans="1:6" hidden="1" x14ac:dyDescent="0.3">
      <c r="E76" s="538"/>
      <c r="F76" s="6"/>
    </row>
    <row r="77" spans="1:6" hidden="1" x14ac:dyDescent="0.3">
      <c r="E77" s="537"/>
      <c r="F77" s="6"/>
    </row>
    <row r="78" spans="1:6" hidden="1" x14ac:dyDescent="0.3">
      <c r="A78"/>
      <c r="B78"/>
      <c r="C78"/>
      <c r="D78"/>
      <c r="E78"/>
      <c r="F78"/>
    </row>
    <row r="79" spans="1:6" hidden="1" x14ac:dyDescent="0.3">
      <c r="A79"/>
      <c r="B79"/>
      <c r="C79"/>
      <c r="D79"/>
      <c r="E79"/>
      <c r="F79"/>
    </row>
    <row r="80" spans="1:6" hidden="1" x14ac:dyDescent="0.3">
      <c r="A80"/>
      <c r="B80"/>
      <c r="C80"/>
      <c r="D80"/>
      <c r="E80"/>
      <c r="F80"/>
    </row>
    <row r="81" customFormat="1" hidden="1" x14ac:dyDescent="0.3"/>
  </sheetData>
  <sheetProtection sheet="1" selectLockedCells="1"/>
  <mergeCells count="7">
    <mergeCell ref="E3:F3"/>
    <mergeCell ref="E33:F33"/>
    <mergeCell ref="E32:F32"/>
    <mergeCell ref="C8:C10"/>
    <mergeCell ref="A19:B19"/>
    <mergeCell ref="A24:B24"/>
    <mergeCell ref="A28:B28"/>
  </mergeCells>
  <dataValidations xWindow="1205" yWindow="872" count="7">
    <dataValidation type="list" allowBlank="1" showInputMessage="1" showErrorMessage="1" sqref="B4" xr:uid="{00000000-0002-0000-0200-000000000000}">
      <formula1>$I$4:$I$5</formula1>
    </dataValidation>
    <dataValidation type="list" allowBlank="1" showInputMessage="1" showErrorMessage="1" sqref="E14" xr:uid="{00000000-0002-0000-0200-000001000000}">
      <formula1>$I$8:$I$10</formula1>
    </dataValidation>
    <dataValidation type="list" allowBlank="1" showInputMessage="1" showErrorMessage="1" sqref="B18" xr:uid="{00000000-0002-0000-0200-000003000000}">
      <formula1>$E$6:$E$8</formula1>
    </dataValidation>
    <dataValidation allowBlank="1" showInputMessage="1" showErrorMessage="1" prompt="Click on cell E16 and make a selection using the drop down" sqref="G14" xr:uid="{00000000-0002-0000-0200-000004000000}"/>
    <dataValidation type="list" allowBlank="1" showInputMessage="1" showErrorMessage="1" sqref="B17" xr:uid="{00000000-0002-0000-0200-000005000000}">
      <formula1>$J$12:$J$15</formula1>
    </dataValidation>
    <dataValidation type="list" allowBlank="1" showInputMessage="1" showErrorMessage="1" sqref="F26" xr:uid="{789807E5-CA50-40D3-AF60-65A776442A90}">
      <formula1>$I$15:$I$22</formula1>
    </dataValidation>
    <dataValidation allowBlank="1" showInputMessage="1" showErrorMessage="1" prompt="Select one condition from cell E14" sqref="F14" xr:uid="{8145AEAE-495B-4E10-8E49-A819F6FA9997}"/>
  </dataValidations>
  <hyperlinks>
    <hyperlink ref="A9" location="'Report Example'!Print_Area" display="Planned Start of Calving" xr:uid="{00000000-0004-0000-0200-000000000000}"/>
    <hyperlink ref="A10" location="'Report Example'!Print_Area" display="Mating Start Date" xr:uid="{00000000-0004-0000-0200-000001000000}"/>
    <hyperlink ref="A11" location="'Report Example'!Print_Area" display="6-Week In-Calf Rate (FFR)" xr:uid="{00000000-0004-0000-0200-000002000000}"/>
    <hyperlink ref="A13" location="'Report Example'!Print_Area" display="Not-In-Calf Rate (FFR)" xr:uid="{00000000-0004-0000-0200-000003000000}"/>
    <hyperlink ref="A14" location="'Report Example'!Print_Area" display="Desired Not-In-Calf Rate (FFR)" xr:uid="{00000000-0004-0000-0200-000004000000}"/>
    <hyperlink ref="A12" location="'Report Example'!Print_Area" display="Desired 6-Week In-Calf rate" xr:uid="{00000000-0004-0000-0200-000005000000}"/>
    <hyperlink ref="A15" location="'Report Example'!Print_Area" display="Total Length of Mating (days)" xr:uid="{00000000-0004-0000-0200-000006000000}"/>
    <hyperlink ref="A25" location="'Report Example'!Print_Area" display="Actual Heat detection efficiency (Fertility Focus Report)" xr:uid="{00000000-0004-0000-0200-000007000000}"/>
    <hyperlink ref="A20" location="'Report Example'!Print_Area" display="Fertility Focus Report - Premating heats figure OR" xr:uid="{00000000-0004-0000-0200-000008000000}"/>
  </hyperlinks>
  <printOptions horizontalCentered="1"/>
  <pageMargins left="0.51181102362204722" right="0.51181102362204722" top="0.51181102362204722" bottom="0.51181102362204722" header="0.51181102362204722" footer="0.51181102362204722"/>
  <pageSetup paperSize="9" scale="6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8"/>
  <sheetViews>
    <sheetView topLeftCell="A20" zoomScaleNormal="100" workbookViewId="0">
      <selection activeCell="C2" sqref="C2:D2"/>
    </sheetView>
  </sheetViews>
  <sheetFormatPr defaultColWidth="0" defaultRowHeight="14" zeroHeight="1" x14ac:dyDescent="0.3"/>
  <cols>
    <col min="1" max="1" width="6.83203125" style="58" customWidth="1"/>
    <col min="2" max="2" width="34.83203125" style="58" customWidth="1"/>
    <col min="3" max="7" width="17.08203125" style="58" customWidth="1"/>
    <col min="8" max="8" width="8" style="58" customWidth="1"/>
    <col min="9" max="9" width="53.33203125" style="608" hidden="1" customWidth="1"/>
    <col min="10" max="16384" width="9" hidden="1"/>
  </cols>
  <sheetData>
    <row r="1" spans="1:9" s="1" customFormat="1" ht="60" customHeight="1" x14ac:dyDescent="0.3">
      <c r="A1" s="32" t="s">
        <v>70</v>
      </c>
      <c r="B1" s="599"/>
      <c r="C1" s="599"/>
      <c r="D1" s="600"/>
      <c r="E1" s="599"/>
      <c r="F1" s="599"/>
      <c r="G1" s="599"/>
      <c r="H1" s="599"/>
      <c r="I1" s="601"/>
    </row>
    <row r="2" spans="1:9" s="1" customFormat="1" ht="20.149999999999999" customHeight="1" x14ac:dyDescent="0.3">
      <c r="A2" s="110"/>
      <c r="B2" s="628" t="s">
        <v>270</v>
      </c>
      <c r="C2" s="639"/>
      <c r="D2" s="639"/>
      <c r="E2" s="602"/>
      <c r="F2" s="602"/>
      <c r="G2" s="602"/>
      <c r="H2" s="602"/>
      <c r="I2" s="603"/>
    </row>
    <row r="3" spans="1:9" ht="30" customHeight="1" x14ac:dyDescent="0.3">
      <c r="A3" s="57"/>
      <c r="B3" s="604" t="s">
        <v>71</v>
      </c>
      <c r="C3" s="605" t="s">
        <v>72</v>
      </c>
      <c r="D3" s="606" t="s">
        <v>73</v>
      </c>
      <c r="E3" s="605" t="s">
        <v>74</v>
      </c>
      <c r="F3" s="605" t="s">
        <v>75</v>
      </c>
      <c r="G3" s="605" t="s">
        <v>76</v>
      </c>
      <c r="H3" s="607"/>
    </row>
    <row r="4" spans="1:9" ht="20.149999999999999" customHeight="1" x14ac:dyDescent="0.3">
      <c r="A4" s="57"/>
      <c r="B4" s="58" t="s">
        <v>77</v>
      </c>
      <c r="C4" s="609" t="str">
        <f>('Non- Cycling'!C18)</f>
        <v/>
      </c>
      <c r="D4" s="610" t="str">
        <f>('Non- Cycling'!B24)</f>
        <v/>
      </c>
      <c r="E4" s="609" t="str">
        <f>('Non- Cycling'!D18)</f>
        <v/>
      </c>
      <c r="F4" s="610" t="str">
        <f>('Non- Cycling'!B28)</f>
        <v/>
      </c>
      <c r="G4" s="611" t="str">
        <f>IF(AND((D4=""),(F4="")),"",(SUM(D4+F4)))</f>
        <v/>
      </c>
      <c r="H4" s="612"/>
    </row>
    <row r="5" spans="1:9" ht="20.149999999999999" customHeight="1" x14ac:dyDescent="0.3">
      <c r="A5" s="57"/>
      <c r="B5" s="58" t="s">
        <v>78</v>
      </c>
      <c r="C5" s="609" t="str">
        <f>('Heat Detection'!B15)</f>
        <v/>
      </c>
      <c r="D5" s="610" t="str">
        <f>('Heat Detection'!B26)</f>
        <v/>
      </c>
      <c r="E5" s="609" t="str">
        <f>('Heat Detection'!B20)</f>
        <v/>
      </c>
      <c r="F5" s="610" t="str">
        <f>('Heat Detection'!B30)</f>
        <v/>
      </c>
      <c r="G5" s="611" t="str">
        <f>IF(AND((D5=""),(F5="")),"",(SUM(D5+F5)))</f>
        <v/>
      </c>
      <c r="H5" s="612"/>
    </row>
    <row r="6" spans="1:9" ht="20.149999999999999" customHeight="1" x14ac:dyDescent="0.3">
      <c r="A6" s="57"/>
      <c r="B6" s="58" t="s">
        <v>79</v>
      </c>
      <c r="C6" s="609" t="str">
        <f>('BCS loss @ early lactation'!C21)</f>
        <v/>
      </c>
      <c r="D6" s="610" t="str">
        <f>('BCS loss @ early lactation'!C22)</f>
        <v/>
      </c>
      <c r="E6" s="609" t="str">
        <f>('BCS loss @ early lactation'!C25)</f>
        <v/>
      </c>
      <c r="F6" s="610" t="str">
        <f>('BCS loss @ early lactation'!C26)</f>
        <v/>
      </c>
      <c r="G6" s="611" t="str">
        <f>IF(AND((D6=""),(F6="")),"",(SUM(D6+F6)))</f>
        <v/>
      </c>
      <c r="H6" s="612"/>
    </row>
    <row r="7" spans="1:9" ht="20.149999999999999" customHeight="1" x14ac:dyDescent="0.3">
      <c r="A7" s="57"/>
      <c r="B7" s="58" t="s">
        <v>80</v>
      </c>
      <c r="C7" s="609" t="str">
        <f>('BCS @ Calving'!B21)</f>
        <v/>
      </c>
      <c r="D7" s="610" t="str">
        <f>('BCS @ Calving'!B40)</f>
        <v/>
      </c>
      <c r="E7" s="609" t="str">
        <f>('BCS @ Calving'!B26)</f>
        <v/>
      </c>
      <c r="F7" s="610" t="str">
        <f>('BCS @ Calving'!B44)</f>
        <v/>
      </c>
      <c r="G7" s="611" t="str">
        <f>IF(AND((D7=""),(F7="")),"",(SUM(D7+F7+'BCS @ Calving'!B48)))</f>
        <v/>
      </c>
      <c r="H7" s="612"/>
    </row>
    <row r="8" spans="1:9" ht="20.149999999999999" customHeight="1" x14ac:dyDescent="0.3">
      <c r="A8" s="57"/>
      <c r="B8" s="58" t="s">
        <v>81</v>
      </c>
      <c r="C8" s="609" t="str">
        <f>('Cow Health'!C20)</f>
        <v/>
      </c>
      <c r="D8" s="610" t="str">
        <f>('Cow Health'!B26)</f>
        <v/>
      </c>
      <c r="E8" s="609" t="str">
        <f>('Cow Health'!D20)</f>
        <v/>
      </c>
      <c r="F8" s="610" t="str">
        <f>('Cow Health'!B30)</f>
        <v/>
      </c>
      <c r="G8" s="611" t="str">
        <f>IF(AND((D8=""),(F8="")),"",(SUM(D8+F8)))</f>
        <v/>
      </c>
      <c r="H8" s="612"/>
    </row>
    <row r="9" spans="1:9" ht="20.149999999999999" customHeight="1" x14ac:dyDescent="0.3">
      <c r="A9" s="57"/>
      <c r="B9" s="58" t="s">
        <v>82</v>
      </c>
      <c r="C9" s="609" t="str">
        <f>('Calving Pattern'!C14)</f>
        <v xml:space="preserve"> </v>
      </c>
      <c r="D9" s="610" t="str">
        <f>('Calving Pattern'!B25)</f>
        <v/>
      </c>
      <c r="E9" s="609" t="str">
        <f>('Calving Pattern'!C19)</f>
        <v/>
      </c>
      <c r="F9" s="610" t="str">
        <f>('Calving Pattern'!B29)</f>
        <v/>
      </c>
      <c r="G9" s="611" t="str">
        <f>IF(AND((D9=""),(F9="")),"",(SUM(D9+F9)))</f>
        <v/>
      </c>
      <c r="H9" s="612"/>
    </row>
    <row r="10" spans="1:9" ht="20.149999999999999" customHeight="1" x14ac:dyDescent="0.3">
      <c r="A10" s="57"/>
      <c r="B10" s="58" t="s">
        <v>83</v>
      </c>
      <c r="C10" s="609" t="str">
        <f>('Heifer Rearing'!B36)</f>
        <v/>
      </c>
      <c r="D10" s="58" t="str">
        <f>('Heifer Rearing'!B37)</f>
        <v/>
      </c>
      <c r="E10" s="609" t="str">
        <f>('Heifer Rearing'!B40)</f>
        <v/>
      </c>
      <c r="F10" s="610" t="str">
        <f>('Heifer Rearing'!B41)</f>
        <v/>
      </c>
      <c r="G10" s="611" t="str">
        <f>IF(AND((D10=""),(F10="")),"",(SUM(D10+F10+'Heifer Rearing'!B45)))</f>
        <v/>
      </c>
      <c r="H10" s="612"/>
      <c r="I10" s="613"/>
    </row>
    <row r="11" spans="1:9" ht="20.149999999999999" customHeight="1" x14ac:dyDescent="0.3">
      <c r="A11" s="57"/>
      <c r="B11" s="70" t="s">
        <v>84</v>
      </c>
      <c r="C11" s="614">
        <f>SUM(C4:C10)</f>
        <v>0</v>
      </c>
      <c r="D11" s="615">
        <f>SUM(D4:D10)</f>
        <v>0</v>
      </c>
      <c r="E11" s="614">
        <f>SUM(E4:E10)</f>
        <v>0</v>
      </c>
      <c r="F11" s="615">
        <f>SUM(F4:F10)</f>
        <v>0</v>
      </c>
      <c r="G11" s="616">
        <f>SUM(G4:G10)</f>
        <v>0</v>
      </c>
      <c r="H11" s="617"/>
    </row>
    <row r="12" spans="1:9" ht="6" customHeight="1" x14ac:dyDescent="0.3">
      <c r="A12" s="57"/>
      <c r="B12" s="57"/>
      <c r="C12" s="57"/>
      <c r="D12" s="618"/>
      <c r="E12" s="57"/>
      <c r="F12" s="57"/>
      <c r="G12" s="57"/>
      <c r="H12" s="57"/>
    </row>
    <row r="13" spans="1:9" s="1" customFormat="1" ht="20.149999999999999" customHeight="1" x14ac:dyDescent="0.3">
      <c r="A13" s="110"/>
      <c r="B13" s="619" t="s">
        <v>85</v>
      </c>
      <c r="C13" s="620"/>
      <c r="D13" s="110"/>
      <c r="E13" s="110"/>
      <c r="F13" s="110"/>
      <c r="G13" s="110"/>
      <c r="H13" s="110"/>
      <c r="I13" s="603"/>
    </row>
    <row r="14" spans="1:9" s="1" customFormat="1" ht="9.75" customHeight="1" x14ac:dyDescent="0.3">
      <c r="A14" s="110"/>
      <c r="B14" s="119"/>
      <c r="C14" s="620"/>
      <c r="D14" s="110"/>
      <c r="E14" s="110"/>
      <c r="F14" s="110"/>
      <c r="G14" s="110"/>
      <c r="H14" s="110"/>
      <c r="I14" s="603"/>
    </row>
    <row r="15" spans="1:9" ht="20.149999999999999" customHeight="1" x14ac:dyDescent="0.3">
      <c r="A15" s="57"/>
      <c r="B15" s="57"/>
      <c r="C15" s="57"/>
      <c r="D15" s="57"/>
      <c r="E15" s="57"/>
      <c r="F15" s="57"/>
      <c r="G15" s="57"/>
      <c r="H15" s="57"/>
    </row>
    <row r="16" spans="1:9" ht="20.149999999999999" customHeight="1" x14ac:dyDescent="0.3">
      <c r="A16" s="57"/>
      <c r="B16" s="57"/>
      <c r="C16" s="57"/>
      <c r="D16" s="621"/>
      <c r="E16" s="57"/>
      <c r="F16" s="621"/>
      <c r="G16" s="57"/>
      <c r="H16" s="57"/>
    </row>
    <row r="17" spans="1:8" ht="20.149999999999999" customHeight="1" x14ac:dyDescent="0.3">
      <c r="A17" s="57"/>
      <c r="B17" s="57"/>
      <c r="C17" s="57"/>
      <c r="D17" s="621"/>
      <c r="E17" s="57"/>
      <c r="F17" s="621"/>
      <c r="G17" s="57"/>
      <c r="H17" s="57"/>
    </row>
    <row r="18" spans="1:8" ht="20.149999999999999" customHeight="1" x14ac:dyDescent="0.3">
      <c r="A18" s="57"/>
      <c r="B18" s="57"/>
      <c r="C18" s="57"/>
      <c r="D18" s="621"/>
      <c r="E18" s="57"/>
      <c r="F18" s="621"/>
      <c r="G18" s="57"/>
      <c r="H18" s="57"/>
    </row>
    <row r="19" spans="1:8" ht="20.149999999999999" customHeight="1" x14ac:dyDescent="0.3">
      <c r="A19" s="57"/>
      <c r="B19" s="57"/>
      <c r="C19" s="57"/>
      <c r="D19" s="621"/>
      <c r="E19" s="57"/>
      <c r="F19" s="621"/>
      <c r="G19" s="57"/>
      <c r="H19" s="57"/>
    </row>
    <row r="20" spans="1:8" ht="20.149999999999999" customHeight="1" x14ac:dyDescent="0.3">
      <c r="A20" s="57"/>
      <c r="B20" s="57"/>
      <c r="C20" s="57"/>
      <c r="D20" s="621"/>
      <c r="E20" s="57"/>
      <c r="F20" s="621"/>
      <c r="G20" s="57"/>
      <c r="H20" s="57"/>
    </row>
    <row r="21" spans="1:8" ht="20.149999999999999" customHeight="1" x14ac:dyDescent="0.3">
      <c r="A21" s="57"/>
      <c r="B21" s="57"/>
      <c r="C21" s="57"/>
      <c r="D21" s="621"/>
      <c r="E21" s="57"/>
      <c r="F21" s="621"/>
      <c r="G21" s="57"/>
      <c r="H21" s="57"/>
    </row>
    <row r="22" spans="1:8" ht="20.149999999999999" customHeight="1" x14ac:dyDescent="0.3">
      <c r="A22" s="57"/>
      <c r="B22" s="57"/>
      <c r="C22" s="57"/>
      <c r="D22" s="621"/>
      <c r="E22" s="57"/>
      <c r="F22" s="621"/>
      <c r="G22" s="57"/>
      <c r="H22" s="57"/>
    </row>
    <row r="23" spans="1:8" ht="20.149999999999999" customHeight="1" x14ac:dyDescent="0.3">
      <c r="A23" s="57"/>
      <c r="B23" s="57"/>
      <c r="C23" s="57"/>
      <c r="D23" s="618"/>
      <c r="E23" s="57"/>
      <c r="F23" s="618"/>
      <c r="G23" s="57"/>
      <c r="H23" s="57"/>
    </row>
    <row r="24" spans="1:8" ht="20.149999999999999" customHeight="1" x14ac:dyDescent="0.3">
      <c r="A24" s="57"/>
      <c r="B24" s="57"/>
      <c r="C24" s="57"/>
      <c r="D24" s="57"/>
      <c r="E24" s="57"/>
      <c r="F24" s="57"/>
      <c r="G24" s="57"/>
      <c r="H24" s="57"/>
    </row>
    <row r="25" spans="1:8" ht="20.149999999999999" customHeight="1" x14ac:dyDescent="0.3">
      <c r="A25" s="57"/>
      <c r="B25" s="57"/>
      <c r="C25" s="57"/>
      <c r="D25" s="57"/>
      <c r="E25" s="57"/>
      <c r="F25" s="57"/>
      <c r="G25" s="57"/>
      <c r="H25" s="57"/>
    </row>
    <row r="26" spans="1:8" ht="20.149999999999999" customHeight="1" x14ac:dyDescent="0.3">
      <c r="A26" s="57"/>
      <c r="B26" s="57"/>
      <c r="C26" s="57"/>
      <c r="D26" s="57"/>
      <c r="E26" s="57"/>
      <c r="F26" s="57"/>
      <c r="G26" s="57"/>
      <c r="H26" s="57"/>
    </row>
    <row r="27" spans="1:8" ht="20.149999999999999" customHeight="1" x14ac:dyDescent="0.3">
      <c r="A27" s="57"/>
      <c r="B27" s="57"/>
      <c r="C27" s="57"/>
      <c r="D27" s="57"/>
      <c r="E27" s="57"/>
      <c r="F27" s="57"/>
      <c r="G27" s="57"/>
      <c r="H27" s="57"/>
    </row>
    <row r="28" spans="1:8" ht="20.149999999999999" customHeight="1" x14ac:dyDescent="0.3">
      <c r="A28" s="57"/>
      <c r="B28" s="57"/>
      <c r="C28" s="57"/>
      <c r="D28" s="57"/>
      <c r="E28" s="57"/>
      <c r="F28" s="57"/>
      <c r="G28" s="57"/>
      <c r="H28" s="57"/>
    </row>
    <row r="29" spans="1:8" ht="20.149999999999999" customHeight="1" x14ac:dyDescent="0.3">
      <c r="A29" s="57"/>
      <c r="B29" s="57"/>
      <c r="C29" s="57"/>
      <c r="D29" s="57"/>
      <c r="E29" s="57"/>
      <c r="F29" s="57"/>
      <c r="G29" s="57"/>
      <c r="H29" s="57"/>
    </row>
    <row r="30" spans="1:8" ht="20.149999999999999" customHeight="1" x14ac:dyDescent="0.3">
      <c r="A30" s="57"/>
      <c r="B30" s="57"/>
      <c r="C30" s="57"/>
      <c r="D30" s="57"/>
      <c r="E30" s="57"/>
      <c r="F30" s="57"/>
      <c r="G30" s="57"/>
      <c r="H30" s="57"/>
    </row>
    <row r="31" spans="1:8" ht="20.149999999999999" customHeight="1" x14ac:dyDescent="0.3">
      <c r="A31" s="57"/>
      <c r="B31" s="57"/>
      <c r="C31" s="57"/>
      <c r="D31" s="57"/>
      <c r="E31" s="57"/>
      <c r="F31" s="57"/>
      <c r="G31" s="57"/>
      <c r="H31" s="57"/>
    </row>
    <row r="32" spans="1:8" ht="20.149999999999999" customHeight="1" x14ac:dyDescent="0.3">
      <c r="A32" s="57"/>
      <c r="B32" s="57"/>
      <c r="C32" s="57"/>
      <c r="D32" s="57"/>
      <c r="E32" s="57"/>
      <c r="F32" s="57"/>
      <c r="G32" s="57"/>
      <c r="H32" s="57"/>
    </row>
    <row r="33" spans="1:8" ht="20.149999999999999" customHeight="1" x14ac:dyDescent="0.3">
      <c r="A33" s="57"/>
      <c r="B33" s="57"/>
      <c r="C33" s="622"/>
      <c r="D33" s="57"/>
      <c r="E33" s="623"/>
      <c r="F33" s="622"/>
      <c r="G33" s="57"/>
      <c r="H33" s="57"/>
    </row>
    <row r="34" spans="1:8" ht="20.149999999999999" customHeight="1" x14ac:dyDescent="0.3">
      <c r="A34" s="57"/>
      <c r="B34" s="57"/>
      <c r="C34" s="622"/>
      <c r="D34" s="622"/>
      <c r="E34" s="57"/>
      <c r="F34" s="57"/>
      <c r="G34" s="57"/>
      <c r="H34" s="57"/>
    </row>
    <row r="35" spans="1:8" ht="20.149999999999999" customHeight="1" x14ac:dyDescent="0.3">
      <c r="A35" s="57"/>
      <c r="B35" s="57"/>
      <c r="C35" s="622"/>
      <c r="D35" s="622"/>
      <c r="E35" s="57"/>
      <c r="F35" s="622"/>
      <c r="G35" s="57"/>
      <c r="H35" s="57"/>
    </row>
    <row r="36" spans="1:8" ht="20.149999999999999" customHeight="1" x14ac:dyDescent="0.3">
      <c r="A36" s="57"/>
      <c r="B36" s="57"/>
      <c r="C36" s="624"/>
      <c r="D36" s="57"/>
      <c r="E36" s="57"/>
      <c r="F36" s="57"/>
      <c r="G36" s="57"/>
      <c r="H36" s="57"/>
    </row>
    <row r="37" spans="1:8" ht="20.149999999999999" customHeight="1" x14ac:dyDescent="0.3">
      <c r="A37" s="57"/>
      <c r="B37" s="57"/>
      <c r="C37" s="624"/>
      <c r="D37" s="622"/>
      <c r="E37" s="57"/>
      <c r="F37" s="57"/>
      <c r="G37" s="57"/>
      <c r="H37" s="57"/>
    </row>
    <row r="38" spans="1:8" ht="20.149999999999999" customHeight="1" x14ac:dyDescent="0.3">
      <c r="A38" s="57"/>
      <c r="B38" s="57"/>
      <c r="C38" s="622"/>
      <c r="D38" s="622"/>
      <c r="E38" s="57"/>
      <c r="F38" s="57"/>
      <c r="G38" s="57"/>
      <c r="H38" s="57"/>
    </row>
    <row r="39" spans="1:8" ht="20.149999999999999" customHeight="1" x14ac:dyDescent="0.3">
      <c r="A39" s="57"/>
      <c r="B39" s="57"/>
      <c r="C39" s="57"/>
      <c r="D39" s="57"/>
      <c r="E39" s="57"/>
      <c r="F39" s="57"/>
      <c r="G39" s="57"/>
      <c r="H39" s="57"/>
    </row>
    <row r="40" spans="1:8" ht="20.149999999999999" customHeight="1" x14ac:dyDescent="0.3">
      <c r="A40" s="57"/>
      <c r="B40" s="57"/>
      <c r="C40" s="622"/>
      <c r="D40" s="622"/>
      <c r="E40" s="57"/>
      <c r="F40" s="622"/>
      <c r="G40" s="57"/>
      <c r="H40" s="57"/>
    </row>
    <row r="41" spans="1:8" ht="20.149999999999999" customHeight="1" x14ac:dyDescent="0.3">
      <c r="A41" s="57"/>
      <c r="B41" s="57"/>
      <c r="C41" s="625"/>
      <c r="D41" s="625"/>
      <c r="E41" s="57"/>
      <c r="F41" s="622"/>
      <c r="G41" s="57"/>
      <c r="H41" s="57"/>
    </row>
    <row r="42" spans="1:8" ht="20.149999999999999" customHeight="1" x14ac:dyDescent="0.3">
      <c r="A42" s="57"/>
      <c r="B42" s="57"/>
      <c r="C42" s="57"/>
      <c r="D42" s="57"/>
      <c r="E42" s="57"/>
      <c r="F42" s="57"/>
      <c r="G42" s="57"/>
      <c r="H42" s="57"/>
    </row>
    <row r="43" spans="1:8" ht="20.149999999999999" customHeight="1" x14ac:dyDescent="0.3">
      <c r="A43" s="57"/>
      <c r="B43" s="57"/>
      <c r="C43" s="57"/>
      <c r="D43" s="57"/>
      <c r="E43" s="57"/>
      <c r="F43" s="57"/>
      <c r="G43" s="57"/>
      <c r="H43" s="57"/>
    </row>
    <row r="44" spans="1:8" ht="20.149999999999999" customHeight="1" x14ac:dyDescent="0.3">
      <c r="A44" s="57"/>
      <c r="B44" s="57"/>
      <c r="C44" s="57"/>
      <c r="D44" s="57"/>
      <c r="E44" s="57"/>
      <c r="F44" s="57"/>
      <c r="G44" s="57"/>
      <c r="H44" s="57"/>
    </row>
    <row r="45" spans="1:8" ht="20.149999999999999" customHeight="1" x14ac:dyDescent="0.3">
      <c r="A45" s="57"/>
      <c r="B45" s="57"/>
      <c r="C45" s="57"/>
      <c r="D45" s="57"/>
      <c r="E45" s="57"/>
      <c r="F45" s="57"/>
      <c r="G45" s="57"/>
      <c r="H45" s="57"/>
    </row>
    <row r="46" spans="1:8" ht="20.149999999999999" customHeight="1" x14ac:dyDescent="0.3">
      <c r="A46" s="57"/>
      <c r="B46" s="57"/>
      <c r="C46" s="57"/>
      <c r="D46" s="57"/>
      <c r="E46" s="57"/>
      <c r="F46" s="57"/>
      <c r="G46" s="57"/>
      <c r="H46" s="57"/>
    </row>
    <row r="47" spans="1:8" ht="20.149999999999999" customHeight="1" x14ac:dyDescent="0.3">
      <c r="A47" s="57"/>
      <c r="B47" s="57"/>
      <c r="C47" s="57"/>
      <c r="D47" s="57"/>
      <c r="E47" s="57"/>
      <c r="F47" s="57"/>
      <c r="G47" s="57"/>
      <c r="H47" s="57"/>
    </row>
    <row r="48" spans="1:8" ht="20.149999999999999" customHeight="1" x14ac:dyDescent="0.3">
      <c r="A48" s="57"/>
      <c r="B48" s="57"/>
      <c r="C48" s="57"/>
      <c r="D48" s="57"/>
      <c r="E48" s="57"/>
      <c r="F48" s="57"/>
      <c r="G48" s="57"/>
      <c r="H48" s="57"/>
    </row>
    <row r="49" spans="1:8" ht="20.149999999999999" customHeight="1" x14ac:dyDescent="0.3">
      <c r="A49" s="57"/>
      <c r="B49" s="57"/>
      <c r="C49" s="57"/>
      <c r="D49" s="57"/>
      <c r="E49" s="57"/>
      <c r="F49" s="57"/>
      <c r="G49" s="57"/>
      <c r="H49" s="57"/>
    </row>
    <row r="50" spans="1:8" ht="19.5" customHeight="1" x14ac:dyDescent="0.3">
      <c r="A50" s="57"/>
      <c r="B50" s="57"/>
      <c r="C50" s="57"/>
      <c r="D50" s="57"/>
      <c r="E50" s="57"/>
      <c r="F50" s="57"/>
      <c r="G50" s="57"/>
      <c r="H50" s="57"/>
    </row>
    <row r="51" spans="1:8" ht="19.5" customHeight="1" x14ac:dyDescent="0.3">
      <c r="A51" s="57"/>
      <c r="B51" s="57"/>
      <c r="C51" s="57"/>
      <c r="D51" s="57"/>
      <c r="E51" s="57"/>
      <c r="F51" s="57"/>
      <c r="G51" s="57"/>
      <c r="H51" s="57"/>
    </row>
    <row r="52" spans="1:8" ht="19.5" customHeight="1" x14ac:dyDescent="0.3">
      <c r="A52" s="57"/>
      <c r="B52" s="57"/>
      <c r="C52" s="57"/>
      <c r="D52" s="57"/>
      <c r="E52" s="57"/>
      <c r="F52" s="57"/>
      <c r="G52" s="57"/>
      <c r="H52" s="57"/>
    </row>
    <row r="53" spans="1:8" ht="19.5" customHeight="1" x14ac:dyDescent="0.3">
      <c r="A53" s="57"/>
      <c r="B53" s="57"/>
      <c r="C53" s="57"/>
      <c r="D53" s="57"/>
      <c r="E53" s="57"/>
      <c r="F53" s="57"/>
      <c r="G53" s="57"/>
      <c r="H53" s="57"/>
    </row>
    <row r="54" spans="1:8" ht="19.5" hidden="1" customHeight="1" x14ac:dyDescent="0.3">
      <c r="A54" s="57"/>
      <c r="B54" s="57"/>
      <c r="C54" s="57"/>
      <c r="D54" s="57"/>
      <c r="E54" s="57"/>
      <c r="F54" s="57"/>
      <c r="G54" s="57"/>
      <c r="H54" s="57"/>
    </row>
    <row r="55" spans="1:8" ht="19.5" hidden="1" customHeight="1" x14ac:dyDescent="0.3">
      <c r="A55" s="57"/>
      <c r="B55" s="57"/>
      <c r="C55" s="57"/>
      <c r="D55" s="57"/>
      <c r="E55" s="57"/>
      <c r="F55" s="57"/>
      <c r="G55" s="57"/>
      <c r="H55" s="57"/>
    </row>
    <row r="56" spans="1:8" ht="16.5" customHeight="1" x14ac:dyDescent="0.3">
      <c r="A56" s="57"/>
      <c r="B56" s="626" t="str">
        <f>Instructions!A16</f>
        <v xml:space="preserve">   Updated Sep 2024</v>
      </c>
      <c r="C56" s="57"/>
      <c r="D56" s="57"/>
      <c r="E56" s="57"/>
      <c r="F56" s="57"/>
      <c r="G56" s="57"/>
      <c r="H56" s="57"/>
    </row>
    <row r="57" spans="1:8" ht="19.5" customHeight="1" x14ac:dyDescent="0.3">
      <c r="A57" s="57"/>
      <c r="B57" s="57"/>
      <c r="C57" s="57"/>
      <c r="D57" s="57"/>
      <c r="E57" s="57"/>
      <c r="F57" s="57"/>
      <c r="G57" s="57"/>
      <c r="H57" s="57"/>
    </row>
    <row r="58" spans="1:8" ht="19.5" customHeight="1" x14ac:dyDescent="0.3">
      <c r="A58" s="57"/>
      <c r="B58" s="57"/>
      <c r="C58" s="57"/>
      <c r="D58" s="57"/>
      <c r="E58" s="57"/>
      <c r="F58" s="57"/>
      <c r="G58" s="57"/>
      <c r="H58" s="57"/>
    </row>
    <row r="59" spans="1:8" ht="20.149999999999999" customHeight="1" x14ac:dyDescent="0.3">
      <c r="A59" s="57"/>
      <c r="B59" s="57"/>
      <c r="C59" s="57"/>
      <c r="D59" s="57"/>
      <c r="E59" s="57"/>
      <c r="F59" s="57"/>
      <c r="G59" s="57"/>
      <c r="H59" s="57"/>
    </row>
    <row r="60" spans="1:8" ht="14.25" customHeight="1" x14ac:dyDescent="0.3">
      <c r="A60" s="272"/>
      <c r="B60" s="272"/>
      <c r="C60" s="272"/>
      <c r="D60" s="272"/>
      <c r="E60" s="272"/>
      <c r="F60" s="272"/>
      <c r="G60" s="272"/>
      <c r="H60" s="272"/>
    </row>
    <row r="61" spans="1:8" ht="14.25" customHeight="1" x14ac:dyDescent="0.3">
      <c r="A61" s="272"/>
      <c r="B61" s="272"/>
      <c r="C61" s="272"/>
      <c r="D61" s="272"/>
      <c r="E61" s="272"/>
      <c r="F61" s="272"/>
      <c r="G61" s="272"/>
      <c r="H61" s="272"/>
    </row>
    <row r="62" spans="1:8" ht="14.25" customHeight="1" x14ac:dyDescent="0.3">
      <c r="A62" s="272"/>
      <c r="B62" s="272"/>
      <c r="C62" s="272"/>
      <c r="D62" s="272"/>
      <c r="E62" s="272"/>
      <c r="F62" s="272"/>
      <c r="G62" s="272"/>
      <c r="H62" s="272"/>
    </row>
    <row r="63" spans="1:8" ht="14.25" customHeight="1" x14ac:dyDescent="0.3">
      <c r="A63" s="272"/>
      <c r="B63" s="272"/>
      <c r="C63" s="272"/>
      <c r="D63" s="272"/>
      <c r="E63" s="272"/>
      <c r="F63" s="272"/>
      <c r="G63" s="272"/>
      <c r="H63" s="272"/>
    </row>
    <row r="64" spans="1:8" ht="20.149999999999999" hidden="1" customHeight="1" x14ac:dyDescent="0.3"/>
    <row r="65" ht="20.149999999999999" hidden="1" customHeight="1" x14ac:dyDescent="0.3"/>
    <row r="66" ht="20.149999999999999" hidden="1" customHeight="1" x14ac:dyDescent="0.3"/>
    <row r="67" ht="20.149999999999999" hidden="1" customHeight="1" x14ac:dyDescent="0.3"/>
    <row r="68" ht="20.149999999999999" hidden="1" customHeight="1" x14ac:dyDescent="0.3"/>
    <row r="69" ht="20.149999999999999" hidden="1" customHeight="1" x14ac:dyDescent="0.3"/>
    <row r="70" ht="20.149999999999999" hidden="1" customHeight="1" x14ac:dyDescent="0.3"/>
    <row r="71" ht="20.149999999999999" hidden="1" customHeight="1" x14ac:dyDescent="0.3"/>
    <row r="72" ht="20.149999999999999" hidden="1" customHeight="1" x14ac:dyDescent="0.3"/>
    <row r="73" ht="20.149999999999999" hidden="1" customHeight="1" x14ac:dyDescent="0.3"/>
    <row r="74" ht="20.149999999999999" hidden="1" customHeight="1" x14ac:dyDescent="0.3"/>
    <row r="75" ht="20.149999999999999" hidden="1" customHeight="1" x14ac:dyDescent="0.3"/>
    <row r="76" ht="20.149999999999999" hidden="1" customHeight="1" x14ac:dyDescent="0.3"/>
    <row r="77" ht="20.149999999999999" hidden="1" customHeight="1" x14ac:dyDescent="0.3"/>
    <row r="78" ht="20.149999999999999" hidden="1" customHeight="1" x14ac:dyDescent="0.3"/>
  </sheetData>
  <sheetProtection sheet="1" objects="1" selectLockedCells="1"/>
  <mergeCells count="1">
    <mergeCell ref="C2:D2"/>
  </mergeCells>
  <printOptions horizontalCentered="1"/>
  <pageMargins left="0.5" right="0.5" top="0.5" bottom="0.5" header="0.5" footer="0.5"/>
  <pageSetup paperSize="9" scale="63" fitToHeight="0" orientation="portrait" r:id="rId1"/>
  <ignoredErrors>
    <ignoredError sqref="G7" formula="1"/>
  </ignoredError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A1:U78"/>
  <sheetViews>
    <sheetView topLeftCell="A21" zoomScaleNormal="100" zoomScalePageLayoutView="60" workbookViewId="0">
      <selection activeCell="D37" sqref="D37"/>
    </sheetView>
  </sheetViews>
  <sheetFormatPr defaultColWidth="0" defaultRowHeight="14" zeroHeight="1" x14ac:dyDescent="0.3"/>
  <cols>
    <col min="1" max="1" width="52.08203125" style="81" customWidth="1"/>
    <col min="2" max="2" width="24" style="52" customWidth="1"/>
    <col min="3" max="3" width="18.4140625" style="52" customWidth="1"/>
    <col min="4" max="4" width="17.1640625" style="52" customWidth="1"/>
    <col min="5" max="8" width="14" hidden="1" customWidth="1"/>
    <col min="9" max="9" width="9.9140625" style="336" hidden="1" customWidth="1"/>
    <col min="10" max="10" width="9.25" style="335" hidden="1" customWidth="1"/>
    <col min="11" max="11" width="25" style="342" hidden="1" customWidth="1"/>
    <col min="12" max="12" width="27.75" style="336" hidden="1" customWidth="1"/>
    <col min="13" max="13" width="13.1640625" style="398" hidden="1" customWidth="1"/>
    <col min="14" max="14" width="23.33203125" style="338" hidden="1" customWidth="1"/>
    <col min="15" max="20" width="0" style="338" hidden="1" customWidth="1"/>
    <col min="21" max="21" width="0" style="335" hidden="1" customWidth="1"/>
    <col min="22" max="16384" width="14" hidden="1"/>
  </cols>
  <sheetData>
    <row r="1" spans="1:21" ht="60" customHeight="1" x14ac:dyDescent="0.3">
      <c r="A1" s="32" t="s">
        <v>86</v>
      </c>
      <c r="B1" s="82"/>
      <c r="C1" s="82"/>
      <c r="D1" s="82"/>
      <c r="I1"/>
      <c r="J1"/>
      <c r="K1"/>
      <c r="L1"/>
      <c r="M1"/>
      <c r="N1"/>
      <c r="O1"/>
      <c r="P1"/>
      <c r="Q1"/>
      <c r="R1"/>
      <c r="S1"/>
      <c r="T1"/>
      <c r="U1"/>
    </row>
    <row r="2" spans="1:21" s="24" customFormat="1" ht="20.149999999999999" customHeight="1" x14ac:dyDescent="0.3">
      <c r="A2" s="74"/>
      <c r="B2" s="66"/>
      <c r="C2" s="66"/>
      <c r="D2" s="66"/>
      <c r="E2"/>
      <c r="F2"/>
      <c r="G2"/>
      <c r="H2"/>
      <c r="I2"/>
      <c r="J2"/>
      <c r="K2"/>
      <c r="L2"/>
      <c r="M2"/>
      <c r="N2"/>
      <c r="O2"/>
      <c r="P2"/>
      <c r="Q2"/>
      <c r="R2"/>
      <c r="S2"/>
      <c r="T2"/>
      <c r="U2"/>
    </row>
    <row r="3" spans="1:21" ht="0.65" customHeight="1" x14ac:dyDescent="0.3">
      <c r="A3" s="79"/>
      <c r="B3" s="83"/>
      <c r="C3" s="83"/>
      <c r="D3" s="83"/>
      <c r="E3" s="1"/>
      <c r="F3" s="1"/>
      <c r="G3" s="1"/>
      <c r="H3" s="1"/>
      <c r="I3" s="1"/>
      <c r="J3" s="1"/>
      <c r="K3"/>
      <c r="L3"/>
      <c r="M3"/>
      <c r="N3"/>
      <c r="O3"/>
      <c r="P3"/>
      <c r="Q3"/>
      <c r="R3"/>
      <c r="S3"/>
      <c r="T3"/>
      <c r="U3"/>
    </row>
    <row r="4" spans="1:21" s="58" customFormat="1" ht="30" customHeight="1" x14ac:dyDescent="0.3">
      <c r="A4" s="116" t="s">
        <v>87</v>
      </c>
      <c r="B4" s="84"/>
      <c r="C4" s="66"/>
      <c r="D4" s="66"/>
      <c r="E4" s="70"/>
      <c r="F4" s="70"/>
      <c r="G4" s="70"/>
      <c r="H4" s="70"/>
      <c r="I4" s="70"/>
      <c r="J4" s="70"/>
      <c r="L4" s="640" t="s">
        <v>88</v>
      </c>
      <c r="M4" s="640"/>
      <c r="N4" s="640"/>
      <c r="O4" s="640"/>
      <c r="P4" s="640"/>
      <c r="Q4" s="640"/>
      <c r="R4" s="640"/>
      <c r="S4" s="640"/>
      <c r="T4" s="640"/>
      <c r="U4" s="640"/>
    </row>
    <row r="5" spans="1:21" ht="20.149999999999999" customHeight="1" x14ac:dyDescent="0.3">
      <c r="A5" s="75" t="s">
        <v>54</v>
      </c>
      <c r="B5" s="547" t="str">
        <f>IF('Input Sheet'!B21="","",'Input Sheet'!B21)</f>
        <v/>
      </c>
      <c r="C5" s="66"/>
      <c r="D5" s="83"/>
      <c r="F5" s="1"/>
      <c r="G5" s="1"/>
      <c r="H5" s="1"/>
      <c r="I5" s="1"/>
      <c r="J5" s="1"/>
      <c r="K5"/>
      <c r="L5" s="640"/>
      <c r="M5" s="640"/>
      <c r="N5" s="640"/>
      <c r="O5" s="640"/>
      <c r="P5" s="640"/>
      <c r="Q5" s="640"/>
      <c r="R5" s="640"/>
      <c r="S5" s="640"/>
      <c r="T5" s="640"/>
      <c r="U5" s="640"/>
    </row>
    <row r="6" spans="1:21" ht="20.149999999999999" customHeight="1" x14ac:dyDescent="0.3">
      <c r="A6" s="76" t="s">
        <v>89</v>
      </c>
      <c r="B6" s="548" t="str">
        <f>IF('Input Sheet'!B6="","",'Input Sheet'!B6)</f>
        <v/>
      </c>
      <c r="C6" s="66"/>
      <c r="D6" s="83"/>
      <c r="E6" s="18"/>
      <c r="F6" s="1"/>
      <c r="G6" s="1"/>
      <c r="H6" s="1"/>
      <c r="I6" s="1"/>
      <c r="J6" s="1"/>
      <c r="K6"/>
      <c r="L6"/>
      <c r="M6"/>
      <c r="N6"/>
      <c r="O6"/>
      <c r="P6"/>
      <c r="Q6"/>
      <c r="R6"/>
      <c r="S6"/>
      <c r="T6"/>
      <c r="U6"/>
    </row>
    <row r="7" spans="1:21" ht="20.149999999999999" customHeight="1" x14ac:dyDescent="0.3">
      <c r="A7" s="77" t="s">
        <v>90</v>
      </c>
      <c r="B7" s="96">
        <f>IF(B5="",'Input Sheet'!B20,B5/B6)</f>
        <v>0</v>
      </c>
      <c r="C7" s="66"/>
      <c r="D7" s="83"/>
      <c r="E7" s="18"/>
      <c r="F7" s="1"/>
      <c r="G7" s="1"/>
      <c r="H7" s="1"/>
      <c r="I7" s="1"/>
      <c r="J7" s="1"/>
      <c r="K7"/>
      <c r="L7"/>
      <c r="M7"/>
      <c r="N7"/>
      <c r="O7"/>
      <c r="P7"/>
      <c r="Q7"/>
      <c r="R7"/>
      <c r="S7"/>
      <c r="T7"/>
      <c r="U7"/>
    </row>
    <row r="8" spans="1:21" ht="20.149999999999999" customHeight="1" x14ac:dyDescent="0.3">
      <c r="A8" s="79"/>
      <c r="B8" s="66"/>
      <c r="C8" s="83"/>
      <c r="D8" s="83"/>
      <c r="E8" s="1"/>
      <c r="F8" s="1"/>
      <c r="G8" s="1"/>
      <c r="H8" s="1"/>
      <c r="I8" s="1"/>
      <c r="J8" s="1"/>
      <c r="K8"/>
      <c r="L8"/>
      <c r="M8"/>
      <c r="N8"/>
      <c r="O8"/>
      <c r="P8"/>
      <c r="Q8"/>
      <c r="R8"/>
      <c r="S8"/>
      <c r="T8"/>
      <c r="U8"/>
    </row>
    <row r="9" spans="1:21" s="58" customFormat="1" ht="30" customHeight="1" x14ac:dyDescent="0.3">
      <c r="A9" s="115" t="s">
        <v>91</v>
      </c>
      <c r="B9" s="85"/>
      <c r="C9" s="83"/>
      <c r="D9" s="83"/>
      <c r="E9" s="70"/>
      <c r="F9" s="70"/>
      <c r="G9" s="70"/>
      <c r="H9" s="70"/>
      <c r="I9" s="70"/>
      <c r="J9" s="70"/>
    </row>
    <row r="10" spans="1:21" ht="20.149999999999999" customHeight="1" x14ac:dyDescent="0.3">
      <c r="A10" s="76" t="s">
        <v>92</v>
      </c>
      <c r="B10" s="94" t="str">
        <f>+(IF(B7=0,"",B7))</f>
        <v/>
      </c>
      <c r="C10" s="66"/>
      <c r="D10" s="83"/>
      <c r="E10" s="1"/>
      <c r="F10" s="1"/>
      <c r="G10" s="1"/>
      <c r="H10" s="1"/>
      <c r="I10" s="1"/>
      <c r="J10" s="1"/>
      <c r="K10"/>
      <c r="L10"/>
      <c r="M10"/>
      <c r="N10"/>
      <c r="O10"/>
      <c r="P10"/>
      <c r="Q10"/>
      <c r="R10"/>
      <c r="S10"/>
      <c r="T10"/>
      <c r="U10"/>
    </row>
    <row r="11" spans="1:21" ht="20.149999999999999" customHeight="1" x14ac:dyDescent="0.3">
      <c r="A11" s="77" t="s">
        <v>93</v>
      </c>
      <c r="B11" s="96" t="str">
        <f>IF(B10="","",100%-B10)</f>
        <v/>
      </c>
      <c r="C11" s="83"/>
      <c r="D11" s="83"/>
      <c r="F11" s="1"/>
      <c r="G11" s="1"/>
      <c r="H11" s="1"/>
      <c r="I11" s="1"/>
      <c r="J11" s="1"/>
      <c r="K11"/>
      <c r="L11"/>
      <c r="M11"/>
      <c r="N11"/>
      <c r="O11"/>
      <c r="P11"/>
      <c r="Q11"/>
      <c r="R11"/>
      <c r="S11"/>
      <c r="T11"/>
      <c r="U11"/>
    </row>
    <row r="12" spans="1:21" ht="20.149999999999999" customHeight="1" x14ac:dyDescent="0.3">
      <c r="A12" s="40"/>
      <c r="B12" s="86"/>
      <c r="C12" s="83"/>
      <c r="D12" s="83"/>
      <c r="E12" s="3"/>
      <c r="F12" s="1"/>
      <c r="G12" s="1"/>
      <c r="H12" s="1"/>
      <c r="I12" s="1"/>
      <c r="J12" s="1"/>
      <c r="K12"/>
      <c r="L12"/>
      <c r="M12"/>
      <c r="N12"/>
      <c r="O12"/>
      <c r="P12"/>
      <c r="Q12"/>
      <c r="R12"/>
      <c r="S12"/>
      <c r="T12"/>
      <c r="U12"/>
    </row>
    <row r="13" spans="1:21" ht="20.149999999999999" customHeight="1" x14ac:dyDescent="0.3">
      <c r="A13" s="79"/>
      <c r="B13" s="83"/>
      <c r="C13" s="83"/>
      <c r="D13" s="83"/>
      <c r="E13" s="1"/>
      <c r="F13" s="1"/>
      <c r="G13" s="1"/>
      <c r="H13" s="1"/>
      <c r="I13" s="1"/>
      <c r="J13" s="1"/>
      <c r="K13"/>
      <c r="L13"/>
      <c r="M13"/>
      <c r="N13"/>
      <c r="O13"/>
      <c r="P13"/>
      <c r="Q13"/>
      <c r="R13"/>
      <c r="S13"/>
      <c r="T13"/>
      <c r="U13"/>
    </row>
    <row r="14" spans="1:21" s="73" customFormat="1" ht="30" customHeight="1" x14ac:dyDescent="0.3">
      <c r="A14" s="426" t="s">
        <v>94</v>
      </c>
      <c r="B14" s="125"/>
      <c r="C14" s="125"/>
      <c r="D14" s="125"/>
      <c r="E14" s="71"/>
      <c r="F14" s="71"/>
      <c r="G14" s="72"/>
      <c r="H14" s="72"/>
      <c r="I14" s="72"/>
      <c r="J14" s="72"/>
      <c r="K14" s="445" t="s">
        <v>95</v>
      </c>
      <c r="L14" s="445"/>
      <c r="M14" s="445"/>
      <c r="N14" s="442"/>
      <c r="O14" s="442"/>
      <c r="P14" s="442"/>
      <c r="Q14" s="442"/>
    </row>
    <row r="15" spans="1:21" ht="30" customHeight="1" x14ac:dyDescent="0.35">
      <c r="A15" s="549"/>
      <c r="B15" s="550"/>
      <c r="C15" s="97" t="s">
        <v>96</v>
      </c>
      <c r="D15" s="98" t="s">
        <v>97</v>
      </c>
      <c r="E15" s="1"/>
      <c r="F15" s="1"/>
      <c r="G15" s="1"/>
      <c r="H15" s="1"/>
      <c r="I15" s="1"/>
      <c r="J15"/>
      <c r="K15" s="423" t="s">
        <v>98</v>
      </c>
      <c r="L15" s="423" t="s">
        <v>99</v>
      </c>
      <c r="M15" s="439" t="s">
        <v>100</v>
      </c>
      <c r="N15" s="2"/>
      <c r="O15"/>
      <c r="P15"/>
      <c r="Q15"/>
      <c r="R15"/>
      <c r="S15"/>
      <c r="T15"/>
      <c r="U15"/>
    </row>
    <row r="16" spans="1:21" ht="20.149999999999999" customHeight="1" x14ac:dyDescent="0.3">
      <c r="A16" s="91" t="s">
        <v>101</v>
      </c>
      <c r="B16" s="92" t="str">
        <f>+IF(B11="","",B11)</f>
        <v/>
      </c>
      <c r="C16" s="92" t="str">
        <f>+IF(B16="","",(IF(B16&gt;K16,(IF(B16&gt;K17,(IF(B16&gt;K18,(IF(B16&gt;K19,(IF(B16&gt;K20,(IF(B16&gt;K21,(IF(B16&gt;K22,(IF(B16&gt;K23,(IF(B16&gt;K24,(IF(B16&gt;K25,(IF(B16&gt;K26,(IF(B16&gt;K27,(IF(B16&gt;K28,(IF(B16&gt;K29,(IF(B16&gt;K30,(IF(B16&gt;K31,(IF(B16&gt;K32,(IF(B16&gt;K33,(IF(B16&gt;K34,(IF(B16&gt;K35,(IF(B16&gt;K36,(IF(B16&gt;K37,(IF(B16&gt;K38,IF(B16&gt;K39,(IF(B16&gt;K40,(IF(B16&gt;K41,L41,L41)),L40)),L39),L38)),L37)),L36)),L35)),L34)),L33)),L32)),L31)),L30)),L29)),L28)),L27)),L26)),L25)),L24)),L23)),L22)),L21)),L20)),L19)),L18)),L17)),L16))/-100)</f>
        <v/>
      </c>
      <c r="D16" s="93" t="str">
        <f>+IF(B16="","",(IF(B16&gt;K16,(IF(B16&gt;K17,(IF(B16&gt;K18,(IF(B16&gt;K19,(IF(B16&gt;K20,(IF(B16&gt;K21,(IF(B16&gt;K22,(IF(B16&gt;K23,(IF(B16&gt;K24,(IF(B16&gt;K25,(IF(B16&gt;K26,(IF(B16&gt;K27,(IF(B16&gt;K28,(IF(B16&gt;K29,(IF(B16&gt;K30,(IF(B16&gt;K31,(IF(B16&gt;K32,(IF(B16&gt;K33,(IF(B16&gt;K34,(IF(B16&gt;K35,(IF(B16&gt;K36,(IF(B16&gt;K37,(IF(B16&gt;K38,IF(B16&gt;K39,(IF(B16&gt;K40,(IF(B16&gt;K41,M41,M41)),M40)),M39),M38)),M37)),M36)),M35)),M34)),M33)),M32)),M31)),M30)),M29)),M28)),M27)),M26)),M25)),M24)),M23)),M22)),M21)),M20)),M19)),M18)),M17)),M16))/100)</f>
        <v/>
      </c>
      <c r="E16" s="1"/>
      <c r="F16" s="1"/>
      <c r="G16" s="1"/>
      <c r="H16" s="1"/>
      <c r="I16" s="1"/>
      <c r="J16"/>
      <c r="K16" s="11">
        <v>0</v>
      </c>
      <c r="L16" s="421">
        <v>0</v>
      </c>
      <c r="M16" s="421">
        <v>0</v>
      </c>
      <c r="N16" s="421"/>
      <c r="O16"/>
      <c r="P16"/>
      <c r="Q16"/>
      <c r="R16"/>
      <c r="S16"/>
      <c r="T16"/>
      <c r="U16"/>
    </row>
    <row r="17" spans="1:21" ht="20.149999999999999" customHeight="1" x14ac:dyDescent="0.3">
      <c r="A17" s="76" t="s">
        <v>56</v>
      </c>
      <c r="B17" s="90">
        <f>IF('Input Sheet'!B22="","",'Input Sheet'!B22)</f>
        <v>0.05</v>
      </c>
      <c r="C17" s="90">
        <f>+IF(B17="","",(IF(B17&gt;K16,(IF(B17&gt;K17,(IF(B17&gt;K18,(IF(B17&gt;K19,(IF(B17&gt;K20,(IF(B17&gt;K21,(IF(B17&gt;K22,(IF(B17&gt;K23,(IF(B17&gt;K24,(IF(B17&gt;K25,(IF(B17&gt;K26,(IF(B17&gt;K27,(IF(B17&gt;K28,(IF(B17&gt;K29,(IF(B17&gt;K30,(IF(B17&gt;K31,(IF(B17&gt;K32,(IF(B17&gt;K33,(IF(B17&gt;K34,(IF(B17&gt;K35,(IF(B17&gt;K36,(IF(B17&gt;K37,(IF(B17&gt;K38,IF(B17&gt;K39,(IF(B17&gt;K40,(IF(B17&gt;K41,L41,L41)),L40)),L39),L38)),L37)),L36)),L35)),L34)),L33)),L32)),L31)),L30)),L29)),L28)),L27)),L26)),L25)),L24)),L23)),L22)),L21)),L20)),L19)),L18)),L17)),L16))/-100)</f>
        <v>0.01</v>
      </c>
      <c r="D17" s="94">
        <f>+IF(B17="","",(IF(B17&gt;K16,(IF(B17&gt;K17,(IF(B17&gt;K18,(IF(B17&gt;K19,(IF(B17&gt;K20,(IF(B17&gt;K21,(IF(B17&gt;K22,(IF(B17&gt;K23,(IF(B17&gt;K24,(IF(B17&gt;K25,(IF(B17&gt;K26,(IF(B17&gt;K27,(IF(B17&gt;K28,(IF(B17&gt;K29,(IF(B17&gt;K30,(IF(B17&gt;K31,(IF(B17&gt;K32,(IF(B17&gt;K33,(IF(B17&gt;K34,(IF(B17&gt;K35,(IF(B17&gt;K36,(IF(B17&gt;K37,(IF(B17&gt;K38,IF(B17&gt;K39,(IF(B17&gt;K40,(IF(B17&gt;K41,M41,M41)),M40)),M39),M38)),M37)),M36)),M35)),M34)),M33)),M32)),M31)),M30)),M29)),M28)),M27)),M26)),M25)),M24)),M23)),M22)),M21)),M20)),M19)),M18)),M17)),M16))/100)</f>
        <v>0.01</v>
      </c>
      <c r="E17" s="1"/>
      <c r="I17"/>
      <c r="J17"/>
      <c r="K17" s="10">
        <v>0.02</v>
      </c>
      <c r="L17" s="422">
        <v>0</v>
      </c>
      <c r="M17" s="422">
        <v>0</v>
      </c>
      <c r="N17" s="421"/>
      <c r="O17"/>
      <c r="P17"/>
      <c r="Q17"/>
      <c r="R17"/>
      <c r="S17"/>
      <c r="T17"/>
      <c r="U17"/>
    </row>
    <row r="18" spans="1:21" ht="20.149999999999999" customHeight="1" x14ac:dyDescent="0.3">
      <c r="A18" s="77" t="s">
        <v>102</v>
      </c>
      <c r="B18" s="95" t="str">
        <f>IF(B16="", "", IF(B16&lt;=B17,"",(B16-B17)))</f>
        <v/>
      </c>
      <c r="C18" s="95" t="str">
        <f>IF(C16="", "", IF(C16&lt;=C17,"",(C16-C17)))</f>
        <v/>
      </c>
      <c r="D18" s="96" t="str">
        <f t="shared" ref="D18" si="0">IF(D16="", "", IF(D16&lt;=D17,"",(D16-D17)))</f>
        <v/>
      </c>
      <c r="E18" s="1"/>
      <c r="F18" s="1"/>
      <c r="G18" s="1"/>
      <c r="H18" s="1"/>
      <c r="I18" s="1"/>
      <c r="J18"/>
      <c r="K18" s="11">
        <v>0.04</v>
      </c>
      <c r="L18" s="421">
        <v>-1</v>
      </c>
      <c r="M18" s="421">
        <v>0</v>
      </c>
      <c r="N18" s="421"/>
      <c r="O18"/>
      <c r="P18"/>
      <c r="Q18"/>
      <c r="R18"/>
      <c r="S18"/>
      <c r="T18"/>
      <c r="U18"/>
    </row>
    <row r="19" spans="1:21" ht="20.149999999999999" customHeight="1" x14ac:dyDescent="0.3">
      <c r="A19" s="79"/>
      <c r="B19" s="83"/>
      <c r="C19" s="83"/>
      <c r="D19" s="83"/>
      <c r="E19" s="1"/>
      <c r="F19" s="1"/>
      <c r="G19" s="1"/>
      <c r="H19" s="1"/>
      <c r="I19" s="1"/>
      <c r="J19"/>
      <c r="K19" s="10">
        <v>0.06</v>
      </c>
      <c r="L19" s="422">
        <v>-1</v>
      </c>
      <c r="M19" s="422">
        <v>1</v>
      </c>
      <c r="N19" s="421"/>
      <c r="O19"/>
      <c r="P19"/>
      <c r="Q19"/>
      <c r="R19"/>
      <c r="S19"/>
      <c r="T19"/>
      <c r="U19"/>
    </row>
    <row r="20" spans="1:21" s="73" customFormat="1" ht="30" customHeight="1" x14ac:dyDescent="0.3">
      <c r="A20" s="426" t="s">
        <v>103</v>
      </c>
      <c r="B20" s="125"/>
      <c r="C20" s="125"/>
      <c r="D20" s="125"/>
      <c r="E20" s="71"/>
      <c r="F20" s="71"/>
      <c r="G20" s="72"/>
      <c r="H20" s="72"/>
      <c r="I20" s="72"/>
      <c r="J20" s="72"/>
      <c r="K20" s="440">
        <v>0.08</v>
      </c>
      <c r="L20" s="421">
        <v>-2</v>
      </c>
      <c r="M20" s="441">
        <v>1</v>
      </c>
      <c r="N20" s="441"/>
      <c r="P20" s="443"/>
    </row>
    <row r="21" spans="1:21" ht="20.149999999999999" customHeight="1" x14ac:dyDescent="0.35">
      <c r="A21" s="80"/>
      <c r="B21" s="78"/>
      <c r="C21" s="78"/>
      <c r="D21" s="78"/>
      <c r="E21" s="2"/>
      <c r="F21" s="1"/>
      <c r="G21" s="1"/>
      <c r="H21" s="1"/>
      <c r="I21" s="1"/>
      <c r="J21"/>
      <c r="K21" s="10">
        <v>0.1</v>
      </c>
      <c r="L21" s="422">
        <v>-3</v>
      </c>
      <c r="M21" s="422">
        <v>2</v>
      </c>
      <c r="N21"/>
      <c r="O21" s="444"/>
      <c r="P21"/>
      <c r="Q21"/>
      <c r="R21"/>
      <c r="S21"/>
      <c r="T21"/>
      <c r="U21"/>
    </row>
    <row r="22" spans="1:21" ht="30" customHeight="1" x14ac:dyDescent="0.3">
      <c r="A22" s="114" t="s">
        <v>104</v>
      </c>
      <c r="B22" s="99"/>
      <c r="C22" s="66"/>
      <c r="D22" s="66"/>
      <c r="F22" s="1"/>
      <c r="G22" s="1"/>
      <c r="H22" s="1"/>
      <c r="I22" s="1"/>
      <c r="J22"/>
      <c r="K22" s="11">
        <v>0.12</v>
      </c>
      <c r="L22" s="421">
        <v>-4</v>
      </c>
      <c r="M22" s="421">
        <v>2</v>
      </c>
      <c r="N22"/>
      <c r="O22" s="444"/>
      <c r="P22"/>
      <c r="Q22"/>
      <c r="R22"/>
      <c r="S22"/>
      <c r="T22"/>
      <c r="U22"/>
    </row>
    <row r="23" spans="1:21" ht="20.149999999999999" customHeight="1" x14ac:dyDescent="0.3">
      <c r="A23" s="76" t="s">
        <v>105</v>
      </c>
      <c r="B23" s="103" t="str">
        <f>IF(C18="", "", C18)</f>
        <v/>
      </c>
      <c r="C23" s="66"/>
      <c r="D23" s="66"/>
      <c r="E23" s="13"/>
      <c r="F23" s="1"/>
      <c r="G23" s="1"/>
      <c r="H23" s="1"/>
      <c r="I23" s="1"/>
      <c r="J23" s="1"/>
      <c r="K23" s="10">
        <v>0.14000000000000001</v>
      </c>
      <c r="L23" s="422">
        <v>-5</v>
      </c>
      <c r="M23" s="422">
        <v>3</v>
      </c>
      <c r="N23"/>
      <c r="O23" s="444"/>
      <c r="P23"/>
      <c r="Q23"/>
      <c r="R23"/>
      <c r="S23"/>
      <c r="T23"/>
      <c r="U23"/>
    </row>
    <row r="24" spans="1:21" ht="20.149999999999999" customHeight="1" x14ac:dyDescent="0.3">
      <c r="A24" s="77" t="s">
        <v>106</v>
      </c>
      <c r="B24" s="104" t="str">
        <f>IF(B23="", "",(B23*'Input Sheet'!I6*B6)*100)</f>
        <v/>
      </c>
      <c r="C24" s="66"/>
      <c r="D24" s="66"/>
      <c r="F24" s="1"/>
      <c r="G24" s="1"/>
      <c r="H24" s="1"/>
      <c r="I24" s="1"/>
      <c r="J24" s="1"/>
      <c r="K24" s="11">
        <v>0.16</v>
      </c>
      <c r="L24" s="421">
        <v>-5</v>
      </c>
      <c r="M24" s="421">
        <v>3</v>
      </c>
      <c r="N24"/>
      <c r="O24" s="444"/>
      <c r="P24"/>
      <c r="Q24"/>
      <c r="R24"/>
      <c r="S24"/>
      <c r="T24"/>
      <c r="U24"/>
    </row>
    <row r="25" spans="1:21" ht="20.149999999999999" customHeight="1" x14ac:dyDescent="0.3">
      <c r="A25" s="35"/>
      <c r="B25" s="66"/>
      <c r="C25" s="66"/>
      <c r="D25" s="66"/>
      <c r="F25" s="1"/>
      <c r="G25" s="1"/>
      <c r="H25" s="1"/>
      <c r="I25" s="1"/>
      <c r="J25"/>
      <c r="K25" s="10">
        <v>0.18</v>
      </c>
      <c r="L25" s="422">
        <v>-6</v>
      </c>
      <c r="M25" s="422">
        <v>3</v>
      </c>
      <c r="N25"/>
      <c r="O25" s="444"/>
      <c r="P25"/>
      <c r="Q25"/>
      <c r="R25"/>
      <c r="S25"/>
      <c r="T25"/>
      <c r="U25"/>
    </row>
    <row r="26" spans="1:21" ht="30" customHeight="1" x14ac:dyDescent="0.35">
      <c r="A26" s="114" t="s">
        <v>107</v>
      </c>
      <c r="B26" s="100"/>
      <c r="C26" s="78"/>
      <c r="D26" s="78"/>
      <c r="E26" s="2"/>
      <c r="F26" s="1"/>
      <c r="G26" s="1"/>
      <c r="H26" s="1"/>
      <c r="I26" s="1"/>
      <c r="J26" s="1"/>
      <c r="K26" s="11">
        <v>0.2</v>
      </c>
      <c r="L26" s="421">
        <v>-6</v>
      </c>
      <c r="M26" s="421">
        <v>4</v>
      </c>
      <c r="N26"/>
      <c r="O26" s="444"/>
      <c r="P26"/>
      <c r="Q26"/>
      <c r="R26"/>
      <c r="S26"/>
      <c r="T26"/>
      <c r="U26"/>
    </row>
    <row r="27" spans="1:21" ht="20.149999999999999" customHeight="1" x14ac:dyDescent="0.3">
      <c r="A27" s="101" t="s">
        <v>108</v>
      </c>
      <c r="B27" s="105" t="str">
        <f>IF(D18="","",D18)</f>
        <v/>
      </c>
      <c r="C27" s="66"/>
      <c r="D27" s="66"/>
      <c r="F27" s="1"/>
      <c r="G27" s="1"/>
      <c r="H27" s="1"/>
      <c r="I27" s="1"/>
      <c r="J27" s="1"/>
      <c r="K27" s="10">
        <v>0.22</v>
      </c>
      <c r="L27" s="422">
        <v>-7</v>
      </c>
      <c r="M27" s="422">
        <v>4</v>
      </c>
      <c r="N27"/>
      <c r="O27" s="444"/>
      <c r="P27"/>
      <c r="Q27"/>
      <c r="R27"/>
      <c r="S27"/>
      <c r="T27"/>
      <c r="U27"/>
    </row>
    <row r="28" spans="1:21" ht="20.149999999999999" customHeight="1" x14ac:dyDescent="0.3">
      <c r="A28" s="102" t="s">
        <v>106</v>
      </c>
      <c r="B28" s="106" t="str">
        <f>IF(B27="","", (B27*10*B6)*100)</f>
        <v/>
      </c>
      <c r="C28" s="66"/>
      <c r="D28" s="66"/>
      <c r="E28" s="13"/>
      <c r="F28" s="1"/>
      <c r="G28" s="1"/>
      <c r="H28" s="1"/>
      <c r="I28" s="1"/>
      <c r="J28"/>
      <c r="K28" s="11">
        <v>0.24</v>
      </c>
      <c r="L28" s="421">
        <v>-7</v>
      </c>
      <c r="M28" s="421">
        <v>5</v>
      </c>
      <c r="N28"/>
      <c r="O28" s="444"/>
      <c r="P28"/>
      <c r="Q28"/>
      <c r="R28"/>
      <c r="S28"/>
      <c r="T28"/>
      <c r="U28"/>
    </row>
    <row r="29" spans="1:21" ht="20.149999999999999" customHeight="1" x14ac:dyDescent="0.3">
      <c r="A29" s="40"/>
      <c r="B29" s="66"/>
      <c r="C29" s="66"/>
      <c r="D29" s="66"/>
      <c r="F29" s="1"/>
      <c r="G29" s="1"/>
      <c r="H29" s="1"/>
      <c r="I29" s="1"/>
      <c r="J29" s="1"/>
      <c r="K29" s="10">
        <v>0.26</v>
      </c>
      <c r="L29" s="422">
        <v>-8</v>
      </c>
      <c r="M29" s="422">
        <v>5</v>
      </c>
      <c r="N29"/>
      <c r="O29" s="444"/>
      <c r="P29"/>
      <c r="Q29"/>
      <c r="R29"/>
      <c r="S29"/>
      <c r="T29"/>
      <c r="U29"/>
    </row>
    <row r="30" spans="1:21" ht="50.15" customHeight="1" x14ac:dyDescent="0.35">
      <c r="A30" s="87" t="s">
        <v>109</v>
      </c>
      <c r="B30" s="107" t="str">
        <f>IF(AND((B24=""),(B28="")), "",(B24+B28))</f>
        <v/>
      </c>
      <c r="C30" s="321" t="str">
        <f>IF(B30="", "Well done!"&amp;CHAR(10)&amp;"You do not have a gap in this area", "")</f>
        <v>Well done!
You do not have a gap in this area</v>
      </c>
      <c r="D30" s="152"/>
      <c r="E30" s="17"/>
      <c r="F30" s="1"/>
      <c r="G30" s="1"/>
      <c r="H30" s="1"/>
      <c r="I30" s="1"/>
      <c r="J30"/>
      <c r="K30" s="11">
        <v>0.28000000000000003</v>
      </c>
      <c r="L30" s="421">
        <v>-8</v>
      </c>
      <c r="M30" s="421">
        <v>5</v>
      </c>
      <c r="N30"/>
      <c r="O30" s="444"/>
      <c r="P30"/>
      <c r="Q30"/>
      <c r="R30"/>
      <c r="S30"/>
      <c r="T30"/>
      <c r="U30"/>
    </row>
    <row r="31" spans="1:21" ht="20.149999999999999" customHeight="1" x14ac:dyDescent="0.3">
      <c r="A31" s="40"/>
      <c r="B31" s="66"/>
      <c r="C31" s="66"/>
      <c r="D31" s="66"/>
      <c r="F31" s="1"/>
      <c r="G31" s="1"/>
      <c r="H31" s="1"/>
      <c r="I31" s="1"/>
      <c r="J31" s="1"/>
      <c r="K31" s="10">
        <v>0.3</v>
      </c>
      <c r="L31" s="422">
        <v>-9</v>
      </c>
      <c r="M31" s="422">
        <v>6</v>
      </c>
      <c r="N31"/>
      <c r="O31" s="444"/>
      <c r="P31"/>
      <c r="Q31"/>
      <c r="R31"/>
      <c r="S31"/>
      <c r="T31"/>
      <c r="U31"/>
    </row>
    <row r="32" spans="1:21" ht="20.149999999999999" customHeight="1" x14ac:dyDescent="0.3">
      <c r="A32" s="88"/>
      <c r="B32" s="89"/>
      <c r="C32" s="89"/>
      <c r="D32" s="89"/>
      <c r="E32" s="313"/>
      <c r="F32" s="313"/>
      <c r="G32" s="313"/>
      <c r="H32" s="313"/>
      <c r="I32" s="313"/>
      <c r="J32" s="313"/>
      <c r="K32" s="11">
        <v>0.32</v>
      </c>
      <c r="L32" s="421">
        <v>-9</v>
      </c>
      <c r="M32" s="421">
        <v>6</v>
      </c>
      <c r="N32"/>
      <c r="O32"/>
      <c r="P32" s="444"/>
      <c r="Q32"/>
      <c r="R32"/>
      <c r="S32"/>
      <c r="T32"/>
      <c r="U32"/>
    </row>
    <row r="33" spans="1:21" ht="20.149999999999999" customHeight="1" x14ac:dyDescent="0.3">
      <c r="A33" s="88"/>
      <c r="B33" s="89"/>
      <c r="C33" s="89"/>
      <c r="D33" s="89"/>
      <c r="E33" s="4"/>
      <c r="F33" s="4"/>
      <c r="G33" s="4"/>
      <c r="H33" s="4"/>
      <c r="I33" s="4"/>
      <c r="J33" s="4"/>
      <c r="K33" s="10">
        <v>0.34</v>
      </c>
      <c r="L33" s="422">
        <v>-10</v>
      </c>
      <c r="M33" s="422">
        <v>6</v>
      </c>
      <c r="N33"/>
      <c r="O33"/>
      <c r="P33" s="444"/>
      <c r="Q33"/>
      <c r="R33"/>
      <c r="S33"/>
      <c r="T33"/>
      <c r="U33"/>
    </row>
    <row r="34" spans="1:21" ht="20.149999999999999" customHeight="1" x14ac:dyDescent="0.3">
      <c r="A34" s="88"/>
      <c r="B34" s="89"/>
      <c r="C34" s="89"/>
      <c r="D34" s="89"/>
      <c r="E34" s="1"/>
      <c r="F34" s="1"/>
      <c r="G34" s="1"/>
      <c r="H34" s="1"/>
      <c r="I34" s="1"/>
      <c r="J34" s="1"/>
      <c r="K34" s="11">
        <v>0.36</v>
      </c>
      <c r="L34" s="421">
        <v>-10</v>
      </c>
      <c r="M34" s="421">
        <v>6</v>
      </c>
      <c r="N34"/>
      <c r="O34"/>
      <c r="P34" s="444"/>
      <c r="Q34"/>
      <c r="R34"/>
      <c r="S34"/>
      <c r="T34"/>
      <c r="U34"/>
    </row>
    <row r="35" spans="1:21" x14ac:dyDescent="0.3">
      <c r="A35" s="88"/>
      <c r="B35" s="89"/>
      <c r="C35" s="89"/>
      <c r="D35" s="89"/>
      <c r="E35" s="1"/>
      <c r="F35" s="1"/>
      <c r="G35" s="1"/>
      <c r="H35" s="1"/>
      <c r="I35" s="1"/>
      <c r="J35" s="1"/>
      <c r="K35" s="10">
        <v>0.38</v>
      </c>
      <c r="L35" s="422">
        <v>-11</v>
      </c>
      <c r="M35" s="422">
        <v>7</v>
      </c>
      <c r="N35"/>
      <c r="O35"/>
      <c r="P35" s="444"/>
      <c r="Q35"/>
      <c r="R35"/>
      <c r="S35"/>
      <c r="T35"/>
      <c r="U35"/>
    </row>
    <row r="36" spans="1:21" x14ac:dyDescent="0.3">
      <c r="A36" s="88"/>
      <c r="B36" s="89"/>
      <c r="C36" s="89"/>
      <c r="D36" s="89"/>
      <c r="E36" s="1"/>
      <c r="F36" s="1"/>
      <c r="G36" s="1"/>
      <c r="H36" s="1"/>
      <c r="I36" s="1"/>
      <c r="J36" s="1"/>
      <c r="K36" s="11">
        <v>0.4</v>
      </c>
      <c r="L36" s="421">
        <v>-11</v>
      </c>
      <c r="M36" s="421">
        <v>7</v>
      </c>
      <c r="N36"/>
      <c r="O36"/>
      <c r="P36" s="444"/>
      <c r="Q36"/>
      <c r="R36"/>
      <c r="S36"/>
      <c r="T36"/>
      <c r="U36"/>
    </row>
    <row r="37" spans="1:21" x14ac:dyDescent="0.3">
      <c r="A37" s="60"/>
      <c r="B37" s="60"/>
      <c r="C37" s="61"/>
      <c r="D37" s="62"/>
      <c r="E37" s="1"/>
      <c r="F37" s="1"/>
      <c r="G37" s="1"/>
      <c r="H37" s="1"/>
      <c r="I37" s="1"/>
      <c r="J37" s="1"/>
      <c r="K37" s="10">
        <v>0.42</v>
      </c>
      <c r="L37" s="422">
        <v>-12</v>
      </c>
      <c r="M37" s="422">
        <v>7</v>
      </c>
      <c r="N37"/>
      <c r="O37"/>
      <c r="P37" s="444"/>
      <c r="Q37"/>
      <c r="R37"/>
      <c r="S37"/>
      <c r="T37"/>
      <c r="U37"/>
    </row>
    <row r="38" spans="1:21" x14ac:dyDescent="0.3">
      <c r="A38" s="60"/>
      <c r="B38" s="63"/>
      <c r="C38" s="64"/>
      <c r="D38" s="69"/>
      <c r="E38" s="1"/>
      <c r="F38" s="1"/>
      <c r="G38" s="1"/>
      <c r="H38" s="1"/>
      <c r="I38" s="1"/>
      <c r="J38" s="1"/>
      <c r="K38" s="11">
        <v>0.44</v>
      </c>
      <c r="L38" s="421">
        <v>-12</v>
      </c>
      <c r="M38" s="421">
        <v>7</v>
      </c>
      <c r="N38"/>
      <c r="O38"/>
      <c r="P38" s="444"/>
      <c r="Q38"/>
      <c r="R38"/>
      <c r="S38"/>
      <c r="T38"/>
      <c r="U38"/>
    </row>
    <row r="39" spans="1:21" x14ac:dyDescent="0.3">
      <c r="A39" s="60"/>
      <c r="B39" s="63"/>
      <c r="C39" s="65"/>
      <c r="D39" s="68"/>
      <c r="E39" s="1"/>
      <c r="F39" s="1"/>
      <c r="G39" s="1"/>
      <c r="H39" s="1"/>
      <c r="I39" s="1"/>
      <c r="J39" s="1"/>
      <c r="K39" s="10">
        <v>0.46</v>
      </c>
      <c r="L39" s="422">
        <v>-13</v>
      </c>
      <c r="M39" s="422">
        <v>8</v>
      </c>
      <c r="N39"/>
      <c r="O39"/>
      <c r="P39" s="444"/>
      <c r="Q39"/>
      <c r="R39"/>
      <c r="S39"/>
      <c r="T39"/>
      <c r="U39"/>
    </row>
    <row r="40" spans="1:21" x14ac:dyDescent="0.3">
      <c r="A40" s="60"/>
      <c r="B40" s="63"/>
      <c r="C40" s="65" t="s">
        <v>69</v>
      </c>
      <c r="D40" s="68"/>
      <c r="E40" s="1"/>
      <c r="F40" s="1"/>
      <c r="G40" s="1"/>
      <c r="H40" s="1"/>
      <c r="I40" s="1"/>
      <c r="J40" s="1"/>
      <c r="K40" s="11">
        <v>0.48</v>
      </c>
      <c r="L40" s="421">
        <v>-13</v>
      </c>
      <c r="M40" s="421">
        <v>8</v>
      </c>
      <c r="N40"/>
      <c r="O40"/>
      <c r="P40" s="444"/>
      <c r="Q40"/>
      <c r="R40"/>
      <c r="S40"/>
      <c r="T40"/>
      <c r="U40"/>
    </row>
    <row r="41" spans="1:21" hidden="1" x14ac:dyDescent="0.3">
      <c r="E41" s="1"/>
      <c r="F41" s="1"/>
      <c r="G41" s="1"/>
      <c r="H41" s="1"/>
      <c r="I41" s="1"/>
      <c r="J41" s="1"/>
      <c r="K41" s="450">
        <v>0.5</v>
      </c>
      <c r="L41" s="422">
        <v>-14</v>
      </c>
      <c r="M41" s="422">
        <v>8</v>
      </c>
      <c r="N41" s="1"/>
      <c r="O41" s="1"/>
      <c r="P41" s="1"/>
      <c r="Q41" s="1"/>
      <c r="R41" s="1"/>
      <c r="S41" s="1"/>
      <c r="T41" s="330"/>
      <c r="U41" s="331"/>
    </row>
    <row r="42" spans="1:21" hidden="1" x14ac:dyDescent="0.3">
      <c r="E42" s="1"/>
      <c r="F42" s="1"/>
      <c r="G42" s="1"/>
      <c r="H42" s="1"/>
      <c r="I42" s="1"/>
      <c r="J42" s="1"/>
      <c r="K42" s="1"/>
      <c r="L42"/>
      <c r="M42" s="7"/>
      <c r="N42"/>
      <c r="O42"/>
      <c r="P42"/>
      <c r="Q42"/>
      <c r="R42"/>
      <c r="S42"/>
      <c r="T42" s="336"/>
    </row>
    <row r="43" spans="1:21" hidden="1" x14ac:dyDescent="0.3">
      <c r="E43" s="1"/>
      <c r="F43" s="1"/>
      <c r="G43" s="1"/>
      <c r="H43" s="1"/>
      <c r="I43" s="1"/>
      <c r="J43" s="1"/>
      <c r="K43" s="1"/>
      <c r="L43"/>
      <c r="M43" s="7"/>
      <c r="N43"/>
      <c r="O43"/>
      <c r="P43"/>
      <c r="Q43"/>
      <c r="R43"/>
      <c r="S43"/>
      <c r="T43" s="336"/>
    </row>
    <row r="44" spans="1:21" hidden="1" x14ac:dyDescent="0.3">
      <c r="E44" s="1"/>
      <c r="F44" s="1"/>
      <c r="I44"/>
      <c r="J44"/>
      <c r="K44"/>
      <c r="L44"/>
      <c r="M44" s="7"/>
      <c r="N44"/>
      <c r="O44"/>
      <c r="P44"/>
      <c r="Q44"/>
      <c r="R44"/>
      <c r="S44"/>
      <c r="T44" s="336"/>
    </row>
    <row r="45" spans="1:21" hidden="1" x14ac:dyDescent="0.3">
      <c r="E45" s="1"/>
      <c r="F45" s="1"/>
      <c r="I45"/>
      <c r="J45"/>
      <c r="K45"/>
      <c r="L45"/>
      <c r="M45" s="7"/>
      <c r="N45"/>
      <c r="O45"/>
      <c r="P45"/>
      <c r="Q45"/>
      <c r="R45"/>
      <c r="S45"/>
      <c r="T45" s="336"/>
    </row>
    <row r="46" spans="1:21" hidden="1" x14ac:dyDescent="0.3">
      <c r="E46" s="1"/>
      <c r="F46" s="1"/>
      <c r="I46"/>
      <c r="J46"/>
      <c r="K46"/>
      <c r="L46"/>
      <c r="M46" s="7"/>
      <c r="N46"/>
      <c r="O46"/>
      <c r="P46"/>
      <c r="Q46"/>
      <c r="R46"/>
      <c r="S46"/>
      <c r="T46" s="336"/>
    </row>
    <row r="47" spans="1:21" hidden="1" x14ac:dyDescent="0.3">
      <c r="I47"/>
      <c r="J47"/>
      <c r="K47"/>
      <c r="L47"/>
      <c r="M47" s="7"/>
      <c r="N47"/>
      <c r="O47"/>
      <c r="P47"/>
      <c r="Q47"/>
      <c r="R47"/>
      <c r="S47"/>
      <c r="T47" s="336"/>
    </row>
    <row r="48" spans="1:21" hidden="1" x14ac:dyDescent="0.3">
      <c r="I48"/>
      <c r="J48"/>
      <c r="K48"/>
      <c r="L48"/>
      <c r="M48" s="7"/>
      <c r="N48"/>
      <c r="O48"/>
      <c r="P48"/>
      <c r="Q48"/>
      <c r="R48"/>
      <c r="S48"/>
      <c r="T48" s="336"/>
    </row>
    <row r="49" spans="7:20" hidden="1" x14ac:dyDescent="0.3">
      <c r="I49"/>
      <c r="J49"/>
      <c r="K49"/>
      <c r="L49"/>
      <c r="M49" s="7"/>
      <c r="N49"/>
      <c r="O49"/>
      <c r="P49"/>
      <c r="Q49"/>
      <c r="R49"/>
      <c r="S49"/>
      <c r="T49" s="336"/>
    </row>
    <row r="50" spans="7:20" hidden="1" x14ac:dyDescent="0.3">
      <c r="I50"/>
      <c r="J50"/>
      <c r="K50"/>
      <c r="L50"/>
      <c r="M50" s="7"/>
      <c r="N50"/>
      <c r="O50"/>
      <c r="P50"/>
      <c r="Q50"/>
      <c r="R50"/>
      <c r="S50"/>
      <c r="T50" s="336"/>
    </row>
    <row r="51" spans="7:20" hidden="1" x14ac:dyDescent="0.3">
      <c r="I51"/>
      <c r="J51"/>
      <c r="K51"/>
      <c r="L51"/>
      <c r="M51" s="7"/>
      <c r="N51"/>
      <c r="O51"/>
      <c r="P51"/>
      <c r="Q51"/>
      <c r="R51"/>
      <c r="S51"/>
      <c r="T51" s="336"/>
    </row>
    <row r="52" spans="7:20" hidden="1" x14ac:dyDescent="0.3">
      <c r="I52"/>
      <c r="J52"/>
      <c r="K52"/>
      <c r="L52"/>
      <c r="M52" s="7"/>
      <c r="N52"/>
      <c r="O52"/>
      <c r="P52"/>
      <c r="Q52"/>
      <c r="R52"/>
      <c r="S52"/>
      <c r="T52" s="336"/>
    </row>
    <row r="53" spans="7:20" hidden="1" x14ac:dyDescent="0.3">
      <c r="I53"/>
      <c r="J53"/>
      <c r="K53"/>
      <c r="L53"/>
      <c r="M53" s="7"/>
      <c r="N53"/>
      <c r="O53"/>
      <c r="P53"/>
      <c r="Q53"/>
      <c r="R53"/>
      <c r="S53"/>
      <c r="T53" s="336"/>
    </row>
    <row r="54" spans="7:20" hidden="1" x14ac:dyDescent="0.3">
      <c r="I54"/>
      <c r="J54"/>
      <c r="K54"/>
      <c r="L54"/>
      <c r="M54" s="7"/>
      <c r="N54"/>
      <c r="O54"/>
      <c r="P54"/>
      <c r="Q54"/>
      <c r="R54"/>
      <c r="S54"/>
      <c r="T54" s="336"/>
    </row>
    <row r="55" spans="7:20" hidden="1" x14ac:dyDescent="0.3">
      <c r="G55" s="1"/>
      <c r="H55" s="1"/>
      <c r="I55" s="1"/>
      <c r="J55" s="1"/>
      <c r="K55" s="1"/>
      <c r="L55"/>
      <c r="M55" s="7"/>
      <c r="N55"/>
      <c r="O55"/>
      <c r="P55"/>
      <c r="Q55"/>
      <c r="R55"/>
      <c r="S55"/>
      <c r="T55" s="336"/>
    </row>
    <row r="56" spans="7:20" hidden="1" x14ac:dyDescent="0.3">
      <c r="G56" s="1"/>
      <c r="H56" s="1"/>
      <c r="I56" s="1"/>
      <c r="J56" s="1"/>
      <c r="K56" s="1"/>
      <c r="L56"/>
      <c r="M56" s="7"/>
      <c r="N56"/>
      <c r="O56"/>
      <c r="P56"/>
      <c r="Q56"/>
      <c r="R56"/>
      <c r="S56"/>
      <c r="T56" s="336"/>
    </row>
    <row r="57" spans="7:20" hidden="1" x14ac:dyDescent="0.3">
      <c r="G57" s="1"/>
      <c r="H57" s="1"/>
      <c r="I57" s="1"/>
      <c r="J57" s="1"/>
      <c r="K57" s="1"/>
      <c r="L57"/>
      <c r="M57" s="7"/>
      <c r="N57"/>
      <c r="O57"/>
      <c r="P57"/>
      <c r="Q57"/>
      <c r="R57"/>
      <c r="S57"/>
      <c r="T57" s="336"/>
    </row>
    <row r="58" spans="7:20" hidden="1" x14ac:dyDescent="0.3">
      <c r="G58" s="1"/>
      <c r="H58" s="1"/>
      <c r="I58" s="1"/>
      <c r="J58" s="1"/>
      <c r="K58" s="1"/>
      <c r="L58"/>
      <c r="M58" s="7"/>
      <c r="N58"/>
      <c r="O58"/>
      <c r="P58"/>
      <c r="Q58"/>
      <c r="R58"/>
      <c r="S58"/>
      <c r="T58" s="336"/>
    </row>
    <row r="59" spans="7:20" hidden="1" x14ac:dyDescent="0.3">
      <c r="G59" s="1"/>
      <c r="H59" s="1"/>
      <c r="I59" s="1"/>
      <c r="J59" s="1"/>
      <c r="K59" s="1"/>
      <c r="L59"/>
      <c r="M59" s="7"/>
      <c r="N59"/>
      <c r="O59"/>
      <c r="P59"/>
      <c r="Q59"/>
      <c r="R59"/>
      <c r="S59"/>
      <c r="T59" s="336"/>
    </row>
    <row r="60" spans="7:20" hidden="1" x14ac:dyDescent="0.3">
      <c r="G60" s="1"/>
      <c r="H60" s="1"/>
      <c r="I60" s="1"/>
      <c r="J60" s="1"/>
      <c r="K60" s="1"/>
      <c r="L60"/>
      <c r="M60" s="7"/>
      <c r="N60"/>
      <c r="O60"/>
      <c r="P60"/>
      <c r="Q60"/>
      <c r="R60"/>
      <c r="S60"/>
      <c r="T60" s="336"/>
    </row>
    <row r="61" spans="7:20" hidden="1" x14ac:dyDescent="0.3">
      <c r="G61" s="1"/>
      <c r="H61" s="1"/>
      <c r="I61" s="1"/>
      <c r="J61" s="1"/>
      <c r="K61" s="1"/>
      <c r="L61"/>
      <c r="M61" s="7"/>
      <c r="N61"/>
      <c r="O61"/>
      <c r="P61"/>
      <c r="Q61"/>
      <c r="R61"/>
      <c r="S61"/>
      <c r="T61" s="336"/>
    </row>
    <row r="62" spans="7:20" hidden="1" x14ac:dyDescent="0.3">
      <c r="G62" s="1"/>
      <c r="H62" s="1"/>
      <c r="I62" s="1"/>
      <c r="J62" s="1"/>
      <c r="K62" s="1"/>
      <c r="L62"/>
      <c r="M62" s="7"/>
      <c r="N62"/>
      <c r="O62"/>
      <c r="P62"/>
      <c r="Q62"/>
      <c r="R62"/>
      <c r="S62"/>
      <c r="T62" s="336"/>
    </row>
    <row r="63" spans="7:20" hidden="1" x14ac:dyDescent="0.3">
      <c r="G63" s="1"/>
      <c r="H63" s="1"/>
      <c r="I63" s="1"/>
      <c r="J63" s="1"/>
      <c r="K63" s="1"/>
      <c r="L63"/>
      <c r="M63" s="7"/>
      <c r="N63"/>
      <c r="O63"/>
      <c r="P63"/>
      <c r="Q63"/>
      <c r="R63"/>
      <c r="S63"/>
      <c r="T63" s="336"/>
    </row>
    <row r="64" spans="7:20" ht="30" hidden="1" customHeight="1" x14ac:dyDescent="0.3">
      <c r="G64" s="1"/>
      <c r="H64" s="1"/>
      <c r="I64" s="1"/>
      <c r="J64" s="1"/>
      <c r="K64" s="1"/>
      <c r="L64"/>
      <c r="M64" s="7"/>
      <c r="N64"/>
      <c r="O64"/>
      <c r="P64"/>
      <c r="Q64"/>
      <c r="R64"/>
      <c r="S64"/>
      <c r="T64" s="336"/>
    </row>
    <row r="65" spans="7:19" hidden="1" x14ac:dyDescent="0.3">
      <c r="G65" s="1"/>
      <c r="H65" s="1"/>
      <c r="I65" s="446"/>
      <c r="J65" s="447"/>
      <c r="K65" s="448"/>
      <c r="L65" s="330"/>
      <c r="M65" s="449"/>
      <c r="N65" s="337"/>
      <c r="O65" s="337"/>
      <c r="P65" s="337"/>
      <c r="Q65" s="337"/>
      <c r="R65" s="337"/>
      <c r="S65" s="337"/>
    </row>
    <row r="66" spans="7:19" hidden="1" x14ac:dyDescent="0.3">
      <c r="G66" s="1"/>
      <c r="H66" s="1"/>
      <c r="I66" s="332"/>
      <c r="J66" s="333"/>
      <c r="K66" s="343"/>
    </row>
    <row r="67" spans="7:19" hidden="1" x14ac:dyDescent="0.3">
      <c r="G67" s="1"/>
      <c r="H67" s="1"/>
      <c r="I67" s="332"/>
      <c r="J67" s="333"/>
      <c r="K67" s="343"/>
    </row>
    <row r="68" spans="7:19" hidden="1" x14ac:dyDescent="0.3">
      <c r="G68" s="1"/>
      <c r="H68" s="1"/>
      <c r="I68" s="332"/>
      <c r="J68" s="333"/>
      <c r="K68" s="343"/>
    </row>
    <row r="69" spans="7:19" hidden="1" x14ac:dyDescent="0.3">
      <c r="G69" s="1"/>
      <c r="H69" s="1"/>
      <c r="I69" s="332"/>
      <c r="J69" s="333"/>
      <c r="K69" s="343"/>
    </row>
    <row r="70" spans="7:19" hidden="1" x14ac:dyDescent="0.3">
      <c r="G70" s="1"/>
      <c r="H70" s="1"/>
      <c r="I70" s="332"/>
      <c r="J70" s="333"/>
      <c r="K70" s="343"/>
    </row>
    <row r="71" spans="7:19" hidden="1" x14ac:dyDescent="0.3">
      <c r="G71" s="1"/>
      <c r="H71" s="1"/>
      <c r="I71" s="332"/>
      <c r="J71" s="333"/>
      <c r="K71" s="343"/>
    </row>
    <row r="72" spans="7:19" hidden="1" x14ac:dyDescent="0.3">
      <c r="G72" s="1"/>
      <c r="H72" s="1"/>
      <c r="I72" s="332"/>
      <c r="J72" s="333"/>
      <c r="K72" s="343"/>
    </row>
    <row r="73" spans="7:19" hidden="1" x14ac:dyDescent="0.3">
      <c r="G73" s="1"/>
      <c r="H73" s="1"/>
      <c r="I73" s="332"/>
      <c r="J73" s="333"/>
      <c r="K73" s="343"/>
    </row>
    <row r="74" spans="7:19" hidden="1" x14ac:dyDescent="0.3">
      <c r="G74" s="1"/>
      <c r="H74" s="1"/>
      <c r="I74" s="332"/>
      <c r="J74" s="333"/>
      <c r="K74" s="343"/>
    </row>
    <row r="75" spans="7:19" hidden="1" x14ac:dyDescent="0.3">
      <c r="G75" s="1"/>
      <c r="H75" s="1"/>
      <c r="I75" s="332"/>
      <c r="J75" s="333"/>
      <c r="K75" s="343"/>
    </row>
    <row r="76" spans="7:19" hidden="1" x14ac:dyDescent="0.3">
      <c r="G76" s="1"/>
      <c r="H76" s="1"/>
      <c r="I76" s="332"/>
      <c r="J76" s="333"/>
      <c r="K76" s="343"/>
    </row>
    <row r="77" spans="7:19" hidden="1" x14ac:dyDescent="0.3">
      <c r="G77" s="1"/>
      <c r="H77" s="1"/>
      <c r="I77" s="332"/>
      <c r="J77" s="333"/>
      <c r="K77" s="343"/>
    </row>
    <row r="78" spans="7:19" hidden="1" x14ac:dyDescent="0.3">
      <c r="G78" s="1"/>
      <c r="H78" s="1"/>
      <c r="I78" s="332"/>
      <c r="J78" s="333"/>
      <c r="K78" s="343"/>
    </row>
  </sheetData>
  <sheetProtection sheet="1" objects="1" selectLockedCells="1"/>
  <mergeCells count="1">
    <mergeCell ref="L4:U5"/>
  </mergeCells>
  <printOptions horizontalCentered="1"/>
  <pageMargins left="0.5" right="0.5" top="0.5" bottom="0.5" header="0.5" footer="0.5"/>
  <pageSetup paperSize="9" scale="6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F1E"/>
    <pageSetUpPr fitToPage="1"/>
  </sheetPr>
  <dimension ref="A1:O100"/>
  <sheetViews>
    <sheetView topLeftCell="A9" zoomScaleNormal="100" zoomScalePageLayoutView="30" workbookViewId="0">
      <selection activeCell="C47" sqref="C47"/>
    </sheetView>
  </sheetViews>
  <sheetFormatPr defaultColWidth="0" defaultRowHeight="14" zeroHeight="1" x14ac:dyDescent="0.3"/>
  <cols>
    <col min="1" max="1" width="75.58203125" style="35" customWidth="1"/>
    <col min="2" max="2" width="21.75" style="58" customWidth="1"/>
    <col min="3" max="3" width="25.58203125" style="58" customWidth="1"/>
    <col min="4" max="4" width="3.58203125" style="58" hidden="1" customWidth="1"/>
    <col min="5" max="5" width="18.5" style="58" hidden="1" customWidth="1"/>
    <col min="6" max="6" width="9" style="58" hidden="1" customWidth="1"/>
    <col min="7" max="7" width="114.83203125" style="58" hidden="1" customWidth="1"/>
    <col min="8" max="15" width="0" style="58" hidden="1" customWidth="1"/>
    <col min="16" max="16384" width="9" style="58" hidden="1"/>
  </cols>
  <sheetData>
    <row r="1" spans="1:14" ht="60" customHeight="1" x14ac:dyDescent="0.3">
      <c r="A1" s="32" t="s">
        <v>110</v>
      </c>
      <c r="B1" s="109"/>
      <c r="C1" s="109"/>
    </row>
    <row r="2" spans="1:14" ht="19.5" customHeight="1" x14ac:dyDescent="0.3">
      <c r="A2" s="79"/>
      <c r="B2" s="110"/>
      <c r="C2" s="110"/>
      <c r="D2" s="70"/>
      <c r="E2" s="70"/>
      <c r="F2" s="70"/>
      <c r="G2" s="70"/>
    </row>
    <row r="3" spans="1:14" s="53" customFormat="1" ht="35.15" customHeight="1" x14ac:dyDescent="0.3">
      <c r="A3" s="644" t="s">
        <v>111</v>
      </c>
      <c r="B3" s="644"/>
      <c r="C3" s="644"/>
    </row>
    <row r="4" spans="1:14" s="54" customFormat="1" ht="20.149999999999999" customHeight="1" x14ac:dyDescent="0.3">
      <c r="A4" s="177"/>
      <c r="B4" s="177"/>
      <c r="C4" s="129"/>
    </row>
    <row r="5" spans="1:14" s="8" customFormat="1" ht="30" customHeight="1" x14ac:dyDescent="0.3">
      <c r="A5" s="133" t="s">
        <v>112</v>
      </c>
      <c r="B5" s="134"/>
      <c r="C5" s="59"/>
      <c r="D5" s="117"/>
      <c r="E5" s="117"/>
      <c r="F5" s="117"/>
    </row>
    <row r="6" spans="1:14" s="8" customFormat="1" ht="20.149999999999999" customHeight="1" x14ac:dyDescent="0.3">
      <c r="A6" s="135" t="s">
        <v>113</v>
      </c>
      <c r="B6" s="136">
        <f>IF('Input Sheet'!B26="","",'Input Sheet'!B26)</f>
        <v>0.95</v>
      </c>
      <c r="C6" s="131" t="s">
        <v>114</v>
      </c>
      <c r="E6" s="117"/>
    </row>
    <row r="7" spans="1:14" s="8" customFormat="1" ht="20.149999999999999" customHeight="1" x14ac:dyDescent="0.3">
      <c r="A7" s="135" t="s">
        <v>115</v>
      </c>
      <c r="B7" s="136" t="str">
        <f>IF('Input Sheet'!B25="","",'Input Sheet'!B25)</f>
        <v/>
      </c>
      <c r="C7" s="56"/>
      <c r="E7" s="117"/>
      <c r="F7" s="117"/>
    </row>
    <row r="8" spans="1:14" s="8" customFormat="1" ht="20.149999999999999" customHeight="1" x14ac:dyDescent="0.3">
      <c r="A8" s="137" t="s">
        <v>116</v>
      </c>
      <c r="B8" s="138" t="str">
        <f>IF(B6&lt;B7,"",B6-B7)</f>
        <v/>
      </c>
      <c r="C8" s="59"/>
      <c r="D8" s="117"/>
      <c r="E8" s="117"/>
      <c r="F8" s="117"/>
    </row>
    <row r="9" spans="1:14" s="8" customFormat="1" ht="50.15" customHeight="1" x14ac:dyDescent="0.3">
      <c r="A9" s="126"/>
      <c r="B9" s="59"/>
      <c r="C9" s="59"/>
      <c r="D9" s="117"/>
      <c r="E9" s="117"/>
      <c r="F9" s="117"/>
    </row>
    <row r="10" spans="1:14" s="53" customFormat="1" ht="35.15" customHeight="1" x14ac:dyDescent="0.3">
      <c r="A10" s="644" t="s">
        <v>117</v>
      </c>
      <c r="B10" s="644"/>
      <c r="C10" s="644"/>
      <c r="N10" s="53" t="s">
        <v>118</v>
      </c>
    </row>
    <row r="11" spans="1:14" s="54" customFormat="1" ht="20.149999999999999" customHeight="1" x14ac:dyDescent="0.3">
      <c r="A11" s="177"/>
      <c r="B11" s="177"/>
      <c r="C11" s="129"/>
    </row>
    <row r="12" spans="1:14" s="8" customFormat="1" ht="30" customHeight="1" x14ac:dyDescent="0.3">
      <c r="A12" s="114" t="s">
        <v>119</v>
      </c>
      <c r="B12" s="139"/>
      <c r="C12" s="59"/>
      <c r="D12" s="117"/>
      <c r="E12" s="117"/>
      <c r="F12" s="117"/>
    </row>
    <row r="13" spans="1:14" s="8" customFormat="1" ht="20.149999999999999" customHeight="1" x14ac:dyDescent="0.3">
      <c r="A13" s="75" t="s">
        <v>120</v>
      </c>
      <c r="B13" s="151" t="str">
        <f>B8</f>
        <v/>
      </c>
      <c r="C13" s="56"/>
      <c r="E13" s="117"/>
      <c r="F13" s="117"/>
    </row>
    <row r="14" spans="1:14" s="8" customFormat="1" ht="20.149999999999999" customHeight="1" x14ac:dyDescent="0.3">
      <c r="A14" s="76" t="s">
        <v>121</v>
      </c>
      <c r="B14" s="148">
        <v>0.53</v>
      </c>
      <c r="C14" s="59"/>
      <c r="D14" s="117"/>
      <c r="E14" s="117"/>
    </row>
    <row r="15" spans="1:14" s="8" customFormat="1" ht="20.149999999999999" customHeight="1" x14ac:dyDescent="0.3">
      <c r="A15" s="149" t="s">
        <v>122</v>
      </c>
      <c r="B15" s="150" t="str">
        <f>IF(B13="","",B13*B14)</f>
        <v/>
      </c>
      <c r="C15" s="128"/>
      <c r="D15" s="117"/>
      <c r="E15" s="117"/>
      <c r="F15" s="117"/>
    </row>
    <row r="16" spans="1:14" s="8" customFormat="1" ht="20.149999999999999" customHeight="1" x14ac:dyDescent="0.3">
      <c r="A16" s="126"/>
      <c r="B16" s="127"/>
      <c r="C16" s="128"/>
      <c r="D16" s="117"/>
      <c r="E16" s="117"/>
      <c r="F16" s="117"/>
    </row>
    <row r="17" spans="1:15" s="8" customFormat="1" ht="30" customHeight="1" x14ac:dyDescent="0.3">
      <c r="A17" s="113" t="s">
        <v>123</v>
      </c>
      <c r="B17" s="124"/>
      <c r="C17" s="59"/>
      <c r="D17" s="117"/>
      <c r="E17" s="117"/>
    </row>
    <row r="18" spans="1:15" s="8" customFormat="1" ht="20.149999999999999" customHeight="1" x14ac:dyDescent="0.3">
      <c r="A18" s="91" t="s">
        <v>120</v>
      </c>
      <c r="B18" s="147" t="str">
        <f>+B8</f>
        <v/>
      </c>
      <c r="C18" s="59"/>
      <c r="D18" s="117"/>
      <c r="E18" s="117"/>
      <c r="F18" s="424"/>
    </row>
    <row r="19" spans="1:15" s="8" customFormat="1" ht="20.149999999999999" customHeight="1" x14ac:dyDescent="0.3">
      <c r="A19" s="76" t="s">
        <v>121</v>
      </c>
      <c r="B19" s="148">
        <v>0.12</v>
      </c>
      <c r="C19" s="56"/>
      <c r="E19" s="117"/>
      <c r="F19" s="424"/>
    </row>
    <row r="20" spans="1:15" s="8" customFormat="1" ht="20.149999999999999" customHeight="1" x14ac:dyDescent="0.3">
      <c r="A20" s="149" t="s">
        <v>124</v>
      </c>
      <c r="B20" s="150" t="str">
        <f>IF(B18="","",B18*B19)</f>
        <v/>
      </c>
      <c r="C20" s="59"/>
      <c r="D20" s="117"/>
      <c r="E20" s="117"/>
      <c r="F20" s="424"/>
    </row>
    <row r="21" spans="1:15" s="8" customFormat="1" ht="50.15" customHeight="1" x14ac:dyDescent="0.3">
      <c r="A21" s="126"/>
      <c r="B21" s="59"/>
      <c r="C21" s="59"/>
      <c r="D21" s="117"/>
      <c r="E21" s="117"/>
      <c r="F21" s="424"/>
    </row>
    <row r="22" spans="1:15" s="8" customFormat="1" ht="35.15" customHeight="1" x14ac:dyDescent="0.3">
      <c r="A22" s="645" t="s">
        <v>125</v>
      </c>
      <c r="B22" s="645"/>
      <c r="C22" s="645"/>
      <c r="D22" s="118"/>
      <c r="E22" s="118"/>
      <c r="F22" s="117"/>
      <c r="G22" s="117"/>
    </row>
    <row r="23" spans="1:15" s="8" customFormat="1" ht="20.149999999999999" customHeight="1" x14ac:dyDescent="0.3">
      <c r="A23" s="129"/>
      <c r="B23" s="130"/>
      <c r="C23" s="130"/>
      <c r="D23" s="118"/>
      <c r="E23" s="117"/>
      <c r="F23" s="117"/>
    </row>
    <row r="24" spans="1:15" s="8" customFormat="1" ht="30" customHeight="1" x14ac:dyDescent="0.3">
      <c r="A24" s="140" t="s">
        <v>126</v>
      </c>
      <c r="B24" s="141"/>
      <c r="C24" s="131"/>
      <c r="D24" s="119"/>
      <c r="E24" s="117"/>
      <c r="F24" s="117"/>
    </row>
    <row r="25" spans="1:15" s="8" customFormat="1" ht="20.149999999999999" customHeight="1" x14ac:dyDescent="0.3">
      <c r="A25" s="75" t="s">
        <v>105</v>
      </c>
      <c r="B25" s="144" t="str">
        <f>IF(B15="", "", B15)</f>
        <v/>
      </c>
      <c r="C25" s="56"/>
      <c r="E25" s="117"/>
      <c r="F25" s="117"/>
    </row>
    <row r="26" spans="1:15" s="8" customFormat="1" ht="20.149999999999999" customHeight="1" x14ac:dyDescent="0.3">
      <c r="A26" s="77" t="s">
        <v>106</v>
      </c>
      <c r="B26" s="146" t="str">
        <f>IF(B25="","", (B25*'Input Sheet'!I6*'Input Sheet'!B6)*100)</f>
        <v/>
      </c>
      <c r="C26" s="55"/>
      <c r="D26" s="120"/>
      <c r="E26" s="117"/>
      <c r="F26" s="641"/>
      <c r="G26" s="641"/>
      <c r="H26" s="641"/>
      <c r="I26" s="641"/>
      <c r="J26" s="641"/>
      <c r="K26" s="641"/>
      <c r="L26" s="641"/>
      <c r="M26" s="641"/>
      <c r="N26" s="641"/>
      <c r="O26" s="641"/>
    </row>
    <row r="27" spans="1:15" s="8" customFormat="1" ht="20.149999999999999" customHeight="1" x14ac:dyDescent="0.3">
      <c r="A27" s="121"/>
      <c r="C27" s="56"/>
      <c r="E27" s="117"/>
      <c r="F27" s="117"/>
    </row>
    <row r="28" spans="1:15" s="8" customFormat="1" ht="30" customHeight="1" x14ac:dyDescent="0.3">
      <c r="A28" s="140" t="s">
        <v>107</v>
      </c>
      <c r="B28" s="141"/>
      <c r="C28" s="131"/>
      <c r="D28" s="119"/>
      <c r="E28" s="119"/>
      <c r="F28" s="117"/>
    </row>
    <row r="29" spans="1:15" s="8" customFormat="1" ht="20.149999999999999" customHeight="1" x14ac:dyDescent="0.3">
      <c r="A29" s="75" t="s">
        <v>108</v>
      </c>
      <c r="B29" s="144" t="str">
        <f>IF(B20="", "", B20)</f>
        <v/>
      </c>
      <c r="C29" s="56"/>
      <c r="E29" s="117"/>
      <c r="F29" s="117"/>
    </row>
    <row r="30" spans="1:15" s="8" customFormat="1" ht="20.149999999999999" customHeight="1" x14ac:dyDescent="0.3">
      <c r="A30" s="77" t="s">
        <v>106</v>
      </c>
      <c r="B30" s="145" t="str">
        <f>IF( B29="", "", (B29*10*'Input Sheet'!B6)*100)</f>
        <v/>
      </c>
      <c r="C30" s="56"/>
      <c r="E30" s="117"/>
      <c r="F30" s="642"/>
      <c r="G30" s="642"/>
      <c r="H30" s="642"/>
      <c r="I30" s="642"/>
      <c r="J30" s="642"/>
      <c r="K30" s="642"/>
      <c r="L30" s="642"/>
      <c r="M30" s="642"/>
      <c r="N30" s="642"/>
      <c r="O30" s="642"/>
    </row>
    <row r="31" spans="1:15" s="8" customFormat="1" ht="20.149999999999999" customHeight="1" x14ac:dyDescent="0.3">
      <c r="A31" s="122"/>
      <c r="B31" s="132"/>
      <c r="C31" s="55"/>
      <c r="D31" s="120"/>
      <c r="E31" s="117"/>
      <c r="F31" s="117"/>
    </row>
    <row r="32" spans="1:15" s="8" customFormat="1" ht="48" customHeight="1" x14ac:dyDescent="0.3">
      <c r="A32" s="142" t="s">
        <v>109</v>
      </c>
      <c r="B32" s="143" t="str">
        <f>IF(AND((B26=""),(B30="")),"",(B26+B30))</f>
        <v/>
      </c>
      <c r="C32" s="322" t="str">
        <f>IF(B32="", "Well done!"&amp;CHAR(10)&amp;"You do not have a gap in this area", "")</f>
        <v>Well done!
You do not have a gap in this area</v>
      </c>
      <c r="D32" s="123"/>
      <c r="E32" s="123"/>
      <c r="F32" s="117"/>
    </row>
    <row r="33" spans="1:7" s="8" customFormat="1" ht="20.149999999999999" customHeight="1" x14ac:dyDescent="0.3">
      <c r="A33" s="126"/>
      <c r="B33" s="59"/>
      <c r="C33" s="59"/>
      <c r="D33" s="117"/>
      <c r="E33" s="117"/>
      <c r="F33" s="117"/>
    </row>
    <row r="34" spans="1:7" ht="54" customHeight="1" x14ac:dyDescent="0.3">
      <c r="A34" s="643" t="s">
        <v>127</v>
      </c>
      <c r="B34" s="643"/>
      <c r="C34" s="643"/>
      <c r="D34" s="70"/>
      <c r="E34" s="70"/>
      <c r="F34" s="70"/>
    </row>
    <row r="35" spans="1:7" x14ac:dyDescent="0.3">
      <c r="A35" s="79"/>
      <c r="B35" s="110"/>
      <c r="C35" s="110"/>
      <c r="D35" s="70"/>
      <c r="E35" s="70"/>
      <c r="F35" s="70"/>
      <c r="G35" s="70"/>
    </row>
    <row r="36" spans="1:7" x14ac:dyDescent="0.3">
      <c r="A36" s="79"/>
      <c r="B36" s="110"/>
      <c r="C36" s="110"/>
      <c r="D36" s="70"/>
      <c r="E36" s="70"/>
      <c r="F36" s="70"/>
    </row>
    <row r="37" spans="1:7" hidden="1" x14ac:dyDescent="0.3">
      <c r="A37" s="79"/>
      <c r="B37" s="110"/>
      <c r="C37" s="110"/>
      <c r="D37" s="70"/>
      <c r="E37" s="70"/>
      <c r="F37" s="70"/>
    </row>
    <row r="38" spans="1:7" hidden="1" x14ac:dyDescent="0.3">
      <c r="A38" s="79"/>
      <c r="B38" s="110"/>
      <c r="C38" s="110"/>
      <c r="D38" s="70"/>
      <c r="E38" s="70"/>
      <c r="F38" s="70"/>
      <c r="G38" s="70"/>
    </row>
    <row r="39" spans="1:7" ht="11.25" hidden="1" customHeight="1" x14ac:dyDescent="0.3">
      <c r="A39" s="79"/>
      <c r="B39" s="110"/>
      <c r="C39" s="110"/>
      <c r="D39" s="70"/>
      <c r="E39" s="70"/>
      <c r="F39" s="70"/>
      <c r="G39" s="70"/>
    </row>
    <row r="40" spans="1:7" ht="11.25" hidden="1" customHeight="1" x14ac:dyDescent="0.3">
      <c r="A40" s="79"/>
      <c r="B40" s="110"/>
      <c r="C40" s="110"/>
      <c r="D40" s="70"/>
      <c r="E40" s="70"/>
      <c r="F40" s="70"/>
    </row>
    <row r="41" spans="1:7" ht="11.25" hidden="1" customHeight="1" x14ac:dyDescent="0.3">
      <c r="A41" s="79"/>
      <c r="B41" s="110"/>
      <c r="C41" s="110"/>
      <c r="D41" s="70"/>
      <c r="E41" s="70"/>
      <c r="F41" s="70"/>
      <c r="G41" s="70"/>
    </row>
    <row r="42" spans="1:7" ht="11.25" customHeight="1" x14ac:dyDescent="0.3">
      <c r="A42" s="79"/>
      <c r="B42" s="110"/>
      <c r="C42" s="110"/>
      <c r="D42" s="70"/>
      <c r="E42" s="70"/>
      <c r="F42" s="70"/>
      <c r="G42" s="70"/>
    </row>
    <row r="43" spans="1:7" ht="11.25" customHeight="1" x14ac:dyDescent="0.3">
      <c r="A43" s="79"/>
      <c r="B43" s="110"/>
      <c r="C43" s="110"/>
      <c r="D43" s="70"/>
      <c r="E43" s="70"/>
      <c r="F43" s="70"/>
    </row>
    <row r="44" spans="1:7" ht="11.25" customHeight="1" x14ac:dyDescent="0.3">
      <c r="A44" s="79"/>
      <c r="B44" s="110"/>
      <c r="C44" s="110"/>
      <c r="D44" s="70"/>
      <c r="E44" s="70"/>
      <c r="F44" s="70"/>
      <c r="G44" s="70"/>
    </row>
    <row r="45" spans="1:7" ht="11.25" customHeight="1" x14ac:dyDescent="0.3">
      <c r="A45" s="79"/>
      <c r="B45" s="110"/>
      <c r="C45" s="110"/>
      <c r="D45" s="70"/>
      <c r="E45" s="70"/>
      <c r="F45" s="70"/>
      <c r="G45" s="70"/>
    </row>
    <row r="46" spans="1:7" ht="11.25" customHeight="1" x14ac:dyDescent="0.3">
      <c r="A46" s="79"/>
      <c r="B46" s="110"/>
      <c r="C46" s="110"/>
      <c r="D46" s="70"/>
      <c r="E46" s="70"/>
      <c r="F46" s="70"/>
      <c r="G46" s="70"/>
    </row>
    <row r="47" spans="1:7" ht="14.25" customHeight="1" x14ac:dyDescent="0.3">
      <c r="A47" s="153"/>
      <c r="B47" s="154"/>
      <c r="C47" s="154"/>
      <c r="D47" s="70"/>
      <c r="E47" s="70"/>
      <c r="F47" s="70"/>
      <c r="G47" s="70"/>
    </row>
    <row r="48" spans="1:7" ht="14.25" customHeight="1" x14ac:dyDescent="0.3">
      <c r="A48" s="153"/>
      <c r="B48" s="154"/>
      <c r="C48" s="154"/>
      <c r="D48" s="70"/>
      <c r="E48" s="70"/>
      <c r="F48" s="70"/>
      <c r="G48" s="70"/>
    </row>
    <row r="49" spans="1:7" ht="14.25" customHeight="1" x14ac:dyDescent="0.3">
      <c r="A49" s="153"/>
      <c r="B49" s="154"/>
      <c r="C49" s="154"/>
      <c r="D49" s="70"/>
      <c r="E49" s="70"/>
      <c r="F49" s="70"/>
      <c r="G49" s="70"/>
    </row>
    <row r="50" spans="1:7" ht="14.25" customHeight="1" x14ac:dyDescent="0.3">
      <c r="A50" s="153"/>
      <c r="B50" s="154"/>
      <c r="C50" s="154"/>
      <c r="D50" s="70"/>
      <c r="E50" s="70"/>
      <c r="F50" s="70"/>
      <c r="G50" s="70"/>
    </row>
    <row r="51" spans="1:7" ht="11.25" hidden="1" customHeight="1" x14ac:dyDescent="0.3">
      <c r="A51" s="112"/>
      <c r="B51" s="70"/>
      <c r="C51" s="70"/>
      <c r="D51" s="70"/>
      <c r="E51" s="70"/>
      <c r="F51" s="70"/>
      <c r="G51" s="70"/>
    </row>
    <row r="52" spans="1:7" ht="11.25" hidden="1" customHeight="1" x14ac:dyDescent="0.3">
      <c r="A52" s="112"/>
      <c r="B52" s="70"/>
      <c r="C52" s="70"/>
      <c r="D52" s="70"/>
      <c r="E52" s="70"/>
      <c r="F52" s="70"/>
      <c r="G52" s="70"/>
    </row>
    <row r="53" spans="1:7" ht="11.25" hidden="1" customHeight="1" x14ac:dyDescent="0.3">
      <c r="F53" s="70"/>
      <c r="G53" s="70"/>
    </row>
    <row r="54" spans="1:7" ht="11.25" hidden="1" customHeight="1" x14ac:dyDescent="0.3">
      <c r="F54" s="70"/>
      <c r="G54" s="70"/>
    </row>
    <row r="55" spans="1:7" ht="11.25" hidden="1" customHeight="1" x14ac:dyDescent="0.3">
      <c r="F55" s="70"/>
      <c r="G55" s="70"/>
    </row>
    <row r="56" spans="1:7" ht="11.25" hidden="1" customHeight="1" x14ac:dyDescent="0.3">
      <c r="F56" s="70"/>
      <c r="G56" s="70"/>
    </row>
    <row r="57" spans="1:7" ht="11.25" hidden="1" customHeight="1" x14ac:dyDescent="0.3">
      <c r="F57" s="70"/>
      <c r="G57" s="70"/>
    </row>
    <row r="58" spans="1:7" ht="11.25" hidden="1" customHeight="1" x14ac:dyDescent="0.3">
      <c r="F58" s="70"/>
      <c r="G58" s="70"/>
    </row>
    <row r="59" spans="1:7" ht="11.25" hidden="1" customHeight="1" x14ac:dyDescent="0.3">
      <c r="F59" s="70"/>
      <c r="G59" s="70"/>
    </row>
    <row r="60" spans="1:7" ht="11.25" hidden="1" customHeight="1" x14ac:dyDescent="0.3">
      <c r="F60" s="70"/>
      <c r="G60" s="70"/>
    </row>
    <row r="61" spans="1:7" ht="11.25" hidden="1" customHeight="1" x14ac:dyDescent="0.3">
      <c r="F61" s="70"/>
      <c r="G61" s="70"/>
    </row>
    <row r="62" spans="1:7" hidden="1" x14ac:dyDescent="0.3">
      <c r="F62" s="70"/>
      <c r="G62" s="70"/>
    </row>
    <row r="67" spans="6:7" ht="30" hidden="1" customHeight="1" x14ac:dyDescent="0.3"/>
    <row r="77" spans="6:7" hidden="1" x14ac:dyDescent="0.3">
      <c r="F77" s="70"/>
      <c r="G77" s="70"/>
    </row>
    <row r="78" spans="6:7" hidden="1" x14ac:dyDescent="0.3">
      <c r="F78" s="70"/>
      <c r="G78" s="70"/>
    </row>
    <row r="79" spans="6:7" hidden="1" x14ac:dyDescent="0.3">
      <c r="F79" s="70"/>
      <c r="G79" s="70"/>
    </row>
    <row r="80" spans="6:7" hidden="1" x14ac:dyDescent="0.3">
      <c r="F80" s="70"/>
      <c r="G80" s="70"/>
    </row>
    <row r="81" spans="6:7" hidden="1" x14ac:dyDescent="0.3">
      <c r="F81" s="70"/>
      <c r="G81" s="70"/>
    </row>
    <row r="82" spans="6:7" hidden="1" x14ac:dyDescent="0.3">
      <c r="F82" s="70"/>
      <c r="G82" s="70"/>
    </row>
    <row r="83" spans="6:7" hidden="1" x14ac:dyDescent="0.3">
      <c r="F83" s="70"/>
      <c r="G83" s="70"/>
    </row>
    <row r="84" spans="6:7" hidden="1" x14ac:dyDescent="0.3">
      <c r="F84" s="70"/>
      <c r="G84" s="70"/>
    </row>
    <row r="85" spans="6:7" hidden="1" x14ac:dyDescent="0.3">
      <c r="F85" s="70"/>
      <c r="G85" s="70"/>
    </row>
    <row r="86" spans="6:7" ht="30" hidden="1" customHeight="1" x14ac:dyDescent="0.3">
      <c r="F86" s="70"/>
      <c r="G86" s="70"/>
    </row>
    <row r="87" spans="6:7" hidden="1" x14ac:dyDescent="0.3">
      <c r="F87" s="70"/>
      <c r="G87" s="70"/>
    </row>
    <row r="88" spans="6:7" hidden="1" x14ac:dyDescent="0.3">
      <c r="F88" s="70"/>
      <c r="G88" s="70"/>
    </row>
    <row r="89" spans="6:7" hidden="1" x14ac:dyDescent="0.3">
      <c r="F89" s="70"/>
      <c r="G89" s="70"/>
    </row>
    <row r="90" spans="6:7" hidden="1" x14ac:dyDescent="0.3">
      <c r="F90" s="70"/>
      <c r="G90" s="70"/>
    </row>
    <row r="91" spans="6:7" hidden="1" x14ac:dyDescent="0.3">
      <c r="F91" s="70"/>
      <c r="G91" s="70"/>
    </row>
    <row r="92" spans="6:7" hidden="1" x14ac:dyDescent="0.3">
      <c r="F92" s="70"/>
      <c r="G92" s="70"/>
    </row>
    <row r="93" spans="6:7" hidden="1" x14ac:dyDescent="0.3">
      <c r="F93" s="70"/>
      <c r="G93" s="70"/>
    </row>
    <row r="94" spans="6:7" hidden="1" x14ac:dyDescent="0.3">
      <c r="F94" s="70"/>
      <c r="G94" s="70"/>
    </row>
    <row r="95" spans="6:7" hidden="1" x14ac:dyDescent="0.3">
      <c r="F95" s="70"/>
      <c r="G95" s="70"/>
    </row>
    <row r="96" spans="6:7" hidden="1" x14ac:dyDescent="0.3">
      <c r="F96" s="70"/>
      <c r="G96" s="70"/>
    </row>
    <row r="97" spans="6:7" hidden="1" x14ac:dyDescent="0.3">
      <c r="F97" s="70"/>
      <c r="G97" s="70"/>
    </row>
    <row r="98" spans="6:7" hidden="1" x14ac:dyDescent="0.3">
      <c r="F98" s="70"/>
      <c r="G98" s="70"/>
    </row>
    <row r="99" spans="6:7" hidden="1" x14ac:dyDescent="0.3">
      <c r="F99" s="70"/>
      <c r="G99" s="70"/>
    </row>
    <row r="100" spans="6:7" hidden="1" x14ac:dyDescent="0.3">
      <c r="F100" s="70"/>
      <c r="G100" s="70"/>
    </row>
  </sheetData>
  <sheetProtection sheet="1" objects="1" selectLockedCells="1"/>
  <mergeCells count="6">
    <mergeCell ref="F26:O26"/>
    <mergeCell ref="F30:O30"/>
    <mergeCell ref="A34:C34"/>
    <mergeCell ref="A3:C3"/>
    <mergeCell ref="A10:C10"/>
    <mergeCell ref="A22:C22"/>
  </mergeCells>
  <printOptions horizontalCentered="1"/>
  <pageMargins left="0.5" right="0.5" top="0.5" bottom="0.5" header="0.5" footer="0.5"/>
  <pageSetup paperSize="9" scale="69" fitToHeight="0" orientation="portrait" r:id="rId1"/>
  <colBreaks count="1" manualBreakCount="1">
    <brk id="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B5A71"/>
    <pageSetUpPr fitToPage="1"/>
  </sheetPr>
  <dimension ref="A1:IU58"/>
  <sheetViews>
    <sheetView topLeftCell="A13" zoomScaleNormal="100" zoomScalePageLayoutView="50" workbookViewId="0">
      <selection activeCell="B46" sqref="B46"/>
    </sheetView>
  </sheetViews>
  <sheetFormatPr defaultColWidth="0" defaultRowHeight="14" zeroHeight="1" x14ac:dyDescent="0.3"/>
  <cols>
    <col min="1" max="1" width="70.33203125" customWidth="1"/>
    <col min="2" max="2" width="7.83203125" customWidth="1"/>
    <col min="3" max="3" width="12.58203125" customWidth="1"/>
    <col min="4" max="4" width="3.58203125" customWidth="1"/>
    <col min="5" max="5" width="11.58203125" customWidth="1"/>
    <col min="6" max="6" width="2.83203125" customWidth="1"/>
    <col min="7" max="7" width="14.9140625" customWidth="1"/>
    <col min="8" max="8" width="10.83203125" hidden="1" customWidth="1"/>
    <col min="9" max="9" width="9" style="336" hidden="1" customWidth="1"/>
    <col min="10" max="25" width="9" style="338" hidden="1" customWidth="1"/>
    <col min="26" max="26" width="7.83203125" style="338" hidden="1" customWidth="1"/>
    <col min="27" max="27" width="12.25" style="338" hidden="1" customWidth="1"/>
    <col min="28" max="28" width="30.58203125" style="338" hidden="1" customWidth="1"/>
    <col min="29" max="29" width="30.58203125" style="335" hidden="1" customWidth="1"/>
    <col min="30" max="30" width="23" hidden="1" customWidth="1"/>
    <col min="31" max="255" width="0" hidden="1" customWidth="1"/>
    <col min="256" max="16384" width="9" hidden="1"/>
  </cols>
  <sheetData>
    <row r="1" spans="1:33" s="180" customFormat="1" ht="60" customHeight="1" x14ac:dyDescent="0.3">
      <c r="A1" s="27" t="s">
        <v>128</v>
      </c>
      <c r="B1" s="27"/>
      <c r="C1" s="27"/>
      <c r="D1" s="27"/>
      <c r="E1" s="27"/>
      <c r="F1" s="27"/>
      <c r="G1" s="27"/>
      <c r="H1" s="74"/>
      <c r="I1" s="345"/>
      <c r="J1" s="346"/>
      <c r="K1" s="346"/>
      <c r="L1" s="346"/>
      <c r="M1" s="346"/>
      <c r="N1" s="346"/>
      <c r="O1" s="346"/>
      <c r="P1" s="346"/>
      <c r="Q1" s="346"/>
      <c r="R1" s="346"/>
      <c r="S1" s="346"/>
      <c r="T1" s="346"/>
      <c r="U1" s="346"/>
      <c r="V1" s="346"/>
      <c r="W1" s="346"/>
      <c r="X1" s="346"/>
      <c r="Y1" s="346"/>
      <c r="Z1" s="346"/>
      <c r="AA1" s="346"/>
      <c r="AB1" s="346"/>
      <c r="AC1" s="351"/>
    </row>
    <row r="2" spans="1:33" ht="30" customHeight="1" x14ac:dyDescent="0.3">
      <c r="A2" s="110"/>
      <c r="B2" s="110"/>
      <c r="C2" s="110"/>
      <c r="D2" s="110"/>
      <c r="E2" s="110"/>
      <c r="F2" s="110"/>
      <c r="G2" s="110"/>
      <c r="H2" s="110"/>
      <c r="I2" s="332"/>
      <c r="J2" s="344"/>
      <c r="K2" s="344"/>
      <c r="L2" s="344"/>
      <c r="M2" s="344"/>
      <c r="N2" s="344"/>
      <c r="O2" s="344"/>
      <c r="P2" s="344"/>
      <c r="Q2" s="344"/>
      <c r="R2" s="344"/>
      <c r="S2" s="344"/>
      <c r="T2" s="344"/>
      <c r="U2" s="344"/>
      <c r="V2" s="344"/>
      <c r="W2" s="344"/>
      <c r="X2" s="344"/>
      <c r="Y2" s="344"/>
      <c r="Z2" s="344"/>
    </row>
    <row r="3" spans="1:33" ht="18" hidden="1" customHeight="1" x14ac:dyDescent="0.3">
      <c r="A3" s="58"/>
      <c r="B3" s="159" t="s">
        <v>129</v>
      </c>
      <c r="C3" s="160"/>
      <c r="D3" s="160"/>
      <c r="E3" s="160"/>
      <c r="F3" s="160"/>
      <c r="G3" s="160"/>
      <c r="H3" s="160"/>
      <c r="I3" s="332"/>
      <c r="J3" s="344"/>
      <c r="K3" s="344"/>
      <c r="L3" s="344"/>
      <c r="M3" s="344"/>
      <c r="N3" s="344"/>
      <c r="O3" s="344"/>
      <c r="P3" s="344"/>
      <c r="Q3" s="344"/>
      <c r="R3" s="344"/>
      <c r="S3" s="344"/>
      <c r="T3" s="344"/>
      <c r="U3" s="344"/>
      <c r="V3" s="344"/>
      <c r="W3" s="344"/>
      <c r="X3" s="344"/>
      <c r="Y3" s="344"/>
      <c r="Z3" s="344"/>
    </row>
    <row r="4" spans="1:33" ht="39" hidden="1" customHeight="1" x14ac:dyDescent="0.3">
      <c r="A4" s="70"/>
      <c r="B4" s="648" t="s">
        <v>67</v>
      </c>
      <c r="C4" s="648"/>
      <c r="D4" s="156" t="str">
        <f>IF('Input Sheet'!B29="","",'Input Sheet'!B29)</f>
        <v/>
      </c>
      <c r="E4" s="155"/>
      <c r="F4" s="649" t="s">
        <v>130</v>
      </c>
      <c r="G4" s="649"/>
      <c r="H4" s="649"/>
      <c r="I4" s="332"/>
      <c r="J4" s="344"/>
      <c r="K4" s="344"/>
      <c r="L4" s="344"/>
      <c r="M4" s="344"/>
      <c r="N4" s="344"/>
      <c r="O4" s="344"/>
      <c r="P4" s="344"/>
      <c r="Q4" s="344"/>
      <c r="R4" s="344"/>
      <c r="S4" s="344"/>
      <c r="T4" s="344"/>
      <c r="U4" s="344"/>
      <c r="V4" s="344"/>
      <c r="W4" s="344"/>
      <c r="X4" s="344"/>
      <c r="Y4" s="344"/>
      <c r="Z4" s="344"/>
    </row>
    <row r="5" spans="1:33" ht="39" hidden="1" customHeight="1" x14ac:dyDescent="0.3">
      <c r="A5" s="58"/>
      <c r="B5" s="648" t="s">
        <v>68</v>
      </c>
      <c r="C5" s="648"/>
      <c r="D5" s="156" t="str">
        <f>IF('Input Sheet'!B30="","",'Input Sheet'!B30)</f>
        <v/>
      </c>
      <c r="E5" s="155"/>
      <c r="F5" s="649" t="s">
        <v>131</v>
      </c>
      <c r="G5" s="649"/>
      <c r="H5" s="649"/>
      <c r="I5" s="332"/>
      <c r="J5" s="344"/>
      <c r="K5" s="344"/>
      <c r="L5" s="344"/>
      <c r="M5" s="344"/>
      <c r="N5" s="344"/>
      <c r="O5" s="344"/>
      <c r="P5" s="344"/>
      <c r="Q5" s="344"/>
      <c r="R5" s="344"/>
      <c r="S5" s="344"/>
      <c r="T5" s="344"/>
      <c r="U5" s="344"/>
      <c r="V5" s="344"/>
      <c r="W5" s="344"/>
      <c r="X5" s="344"/>
      <c r="Y5" s="344"/>
      <c r="Z5" s="344"/>
    </row>
    <row r="6" spans="1:33" ht="39" hidden="1" customHeight="1" x14ac:dyDescent="0.3">
      <c r="A6" s="58"/>
      <c r="B6" s="648" t="s">
        <v>132</v>
      </c>
      <c r="C6" s="648"/>
      <c r="D6" s="157" t="str">
        <f>IF(D5="","",D4-D5)</f>
        <v/>
      </c>
      <c r="E6" s="111"/>
      <c r="F6" s="649"/>
      <c r="G6" s="649"/>
      <c r="H6" s="649"/>
      <c r="I6" s="332"/>
      <c r="J6" s="344"/>
      <c r="K6" s="344"/>
      <c r="L6" s="344"/>
      <c r="M6" s="344"/>
      <c r="N6" s="344"/>
      <c r="O6" s="344"/>
      <c r="P6" s="344"/>
      <c r="Q6" s="344"/>
      <c r="R6" s="344"/>
      <c r="S6" s="344"/>
      <c r="T6" s="344"/>
      <c r="U6" s="344"/>
      <c r="V6" s="344"/>
      <c r="W6" s="344"/>
      <c r="X6" s="344"/>
      <c r="Y6" s="344"/>
      <c r="Z6" s="344"/>
    </row>
    <row r="7" spans="1:33" ht="39" hidden="1" customHeight="1" x14ac:dyDescent="0.3">
      <c r="A7" s="58"/>
      <c r="B7" s="648" t="s">
        <v>133</v>
      </c>
      <c r="C7" s="648"/>
      <c r="D7" s="158" t="e">
        <f>IF('Input Sheet'!#REF!="","",'Input Sheet'!#REF!)</f>
        <v>#REF!</v>
      </c>
      <c r="E7" s="155"/>
      <c r="F7" s="649" t="s">
        <v>134</v>
      </c>
      <c r="G7" s="649"/>
      <c r="H7" s="649"/>
      <c r="I7" s="332"/>
      <c r="J7" s="344"/>
      <c r="K7" s="344"/>
      <c r="L7" s="344"/>
      <c r="M7" s="344"/>
      <c r="N7" s="344"/>
      <c r="O7" s="344"/>
      <c r="P7" s="344"/>
      <c r="Q7" s="344"/>
      <c r="R7" s="344"/>
      <c r="S7" s="344"/>
      <c r="T7" s="344"/>
      <c r="U7" s="344"/>
      <c r="V7" s="344"/>
      <c r="W7" s="344"/>
      <c r="X7" s="344"/>
      <c r="Y7" s="344"/>
      <c r="Z7" s="344"/>
    </row>
    <row r="8" spans="1:33" ht="18" hidden="1" customHeight="1" x14ac:dyDescent="0.3">
      <c r="A8" s="70"/>
      <c r="B8" s="58"/>
      <c r="C8" s="58"/>
      <c r="D8" s="58"/>
      <c r="E8" s="111"/>
      <c r="F8" s="111"/>
      <c r="G8" s="111"/>
      <c r="H8" s="111"/>
      <c r="I8" s="332"/>
      <c r="J8" s="344"/>
      <c r="K8" s="344"/>
      <c r="L8" s="344"/>
      <c r="M8" s="344"/>
      <c r="N8" s="344"/>
      <c r="O8" s="344"/>
      <c r="P8" s="344"/>
      <c r="Q8" s="344"/>
      <c r="R8" s="344"/>
      <c r="S8" s="344"/>
      <c r="T8" s="344"/>
      <c r="U8" s="344"/>
      <c r="V8" s="344"/>
      <c r="W8" s="344"/>
      <c r="X8" s="344"/>
      <c r="Y8" s="344"/>
      <c r="Z8" s="344"/>
    </row>
    <row r="9" spans="1:33" s="2" customFormat="1" ht="35.15" customHeight="1" x14ac:dyDescent="0.35">
      <c r="A9" s="644" t="s">
        <v>135</v>
      </c>
      <c r="B9" s="644"/>
      <c r="C9" s="644"/>
      <c r="D9" s="644"/>
      <c r="E9" s="644"/>
      <c r="F9" s="644"/>
      <c r="G9" s="178"/>
      <c r="H9" s="179"/>
      <c r="I9" s="347"/>
      <c r="J9" s="348"/>
      <c r="K9" s="348"/>
      <c r="L9" s="348"/>
      <c r="M9" s="348"/>
      <c r="N9" s="348"/>
      <c r="O9" s="348"/>
      <c r="P9" s="348"/>
      <c r="Q9" s="348"/>
      <c r="R9" s="348"/>
      <c r="S9" s="348"/>
      <c r="T9" s="348"/>
      <c r="U9" s="348"/>
      <c r="V9" s="348"/>
      <c r="W9" s="348"/>
      <c r="X9" s="348"/>
      <c r="Y9" s="348"/>
      <c r="Z9" s="348"/>
      <c r="AA9" s="352"/>
      <c r="AB9" s="352"/>
      <c r="AC9" s="353"/>
    </row>
    <row r="10" spans="1:33" ht="20.149999999999999" customHeight="1" x14ac:dyDescent="0.3">
      <c r="A10" s="57"/>
      <c r="B10" s="57"/>
      <c r="C10" s="57"/>
      <c r="D10" s="57"/>
      <c r="E10" s="57"/>
      <c r="F10" s="57"/>
      <c r="G10" s="57"/>
      <c r="H10" s="57"/>
      <c r="AA10" s="12" t="s">
        <v>136</v>
      </c>
      <c r="AB10" s="12"/>
      <c r="AC10" s="12"/>
    </row>
    <row r="11" spans="1:33" ht="30" customHeight="1" x14ac:dyDescent="0.3">
      <c r="A11" s="172" t="s">
        <v>137</v>
      </c>
      <c r="B11" s="175"/>
      <c r="C11" s="252"/>
      <c r="D11" s="57"/>
      <c r="E11" s="57"/>
      <c r="F11" s="57"/>
      <c r="G11" s="57"/>
      <c r="H11" s="57"/>
      <c r="I11" s="332"/>
      <c r="J11" s="344"/>
      <c r="K11" s="344"/>
      <c r="L11" s="344"/>
      <c r="M11" s="344"/>
      <c r="N11" s="344"/>
      <c r="O11" s="344"/>
      <c r="P11" s="344"/>
      <c r="Q11" s="344"/>
      <c r="R11" s="344"/>
      <c r="S11" s="344"/>
      <c r="T11" s="344"/>
      <c r="U11" s="344"/>
      <c r="V11" s="344"/>
      <c r="W11" s="344"/>
      <c r="X11" s="344"/>
      <c r="Y11" s="344"/>
      <c r="AA11" s="646" t="s">
        <v>138</v>
      </c>
      <c r="AB11" s="647" t="s">
        <v>139</v>
      </c>
      <c r="AC11" s="647" t="s">
        <v>140</v>
      </c>
      <c r="AD11" s="9"/>
      <c r="AE11" s="9"/>
    </row>
    <row r="12" spans="1:33" ht="20.149999999999999" customHeight="1" x14ac:dyDescent="0.3">
      <c r="A12" s="166" t="s">
        <v>141</v>
      </c>
      <c r="B12" s="167"/>
      <c r="C12" s="169" t="str">
        <f>IF(D6="","",D6)</f>
        <v/>
      </c>
      <c r="D12" s="110"/>
      <c r="E12" s="57"/>
      <c r="F12" s="57"/>
      <c r="G12" s="57"/>
      <c r="H12" s="57"/>
      <c r="I12" s="332"/>
      <c r="J12" s="344"/>
      <c r="K12" s="344"/>
      <c r="L12" s="344"/>
      <c r="M12" s="344"/>
      <c r="N12" s="344"/>
      <c r="O12" s="344"/>
      <c r="P12" s="344"/>
      <c r="Q12" s="344"/>
      <c r="R12" s="344"/>
      <c r="S12" s="344"/>
      <c r="T12" s="344"/>
      <c r="U12" s="344"/>
      <c r="V12" s="344"/>
      <c r="W12" s="344"/>
      <c r="X12" s="344"/>
      <c r="Y12" s="344"/>
      <c r="AA12" s="646"/>
      <c r="AB12" s="647"/>
      <c r="AC12" s="647"/>
    </row>
    <row r="13" spans="1:33" ht="20.149999999999999" customHeight="1" x14ac:dyDescent="0.3">
      <c r="A13" s="110"/>
      <c r="B13" s="110"/>
      <c r="C13" s="110"/>
      <c r="D13" s="110"/>
      <c r="E13" s="110"/>
      <c r="F13" s="110"/>
      <c r="G13" s="110"/>
      <c r="H13" s="110"/>
      <c r="I13" s="332"/>
      <c r="J13" s="344"/>
      <c r="K13" s="344"/>
      <c r="L13" s="344"/>
      <c r="M13" s="344"/>
      <c r="N13" s="344"/>
      <c r="O13" s="344"/>
      <c r="P13" s="344"/>
      <c r="Q13" s="344"/>
      <c r="R13" s="344"/>
      <c r="S13" s="344"/>
      <c r="T13" s="344"/>
      <c r="U13" s="344"/>
      <c r="V13" s="344"/>
      <c r="W13" s="344"/>
      <c r="X13" s="344"/>
      <c r="Y13" s="344"/>
      <c r="AA13" s="7" t="s">
        <v>142</v>
      </c>
      <c r="AB13" s="14">
        <v>0</v>
      </c>
      <c r="AC13" s="14">
        <v>0</v>
      </c>
    </row>
    <row r="14" spans="1:33" ht="20.149999999999999" customHeight="1" x14ac:dyDescent="0.3">
      <c r="A14" s="172" t="s">
        <v>143</v>
      </c>
      <c r="B14" s="270"/>
      <c r="C14" s="270"/>
      <c r="D14" s="540"/>
      <c r="E14" s="541"/>
      <c r="F14" s="540"/>
      <c r="G14" s="542"/>
      <c r="H14" s="83"/>
      <c r="I14" s="332"/>
      <c r="J14" s="344"/>
      <c r="K14" s="344"/>
      <c r="L14" s="344"/>
      <c r="M14" s="344"/>
      <c r="N14" s="344"/>
      <c r="O14" s="344"/>
      <c r="P14" s="344"/>
      <c r="Q14" s="344"/>
      <c r="R14" s="344"/>
      <c r="S14" s="344"/>
      <c r="T14" s="344"/>
      <c r="U14" s="344"/>
      <c r="V14" s="344"/>
      <c r="W14" s="344"/>
      <c r="X14" s="344"/>
      <c r="Y14" s="344"/>
      <c r="AA14" s="15" t="s">
        <v>144</v>
      </c>
      <c r="AB14" s="16">
        <v>-0.02</v>
      </c>
      <c r="AC14" s="16">
        <v>0.01</v>
      </c>
      <c r="AF14" s="9"/>
      <c r="AG14" s="9"/>
    </row>
    <row r="15" spans="1:33" ht="20.149999999999999" customHeight="1" x14ac:dyDescent="0.3">
      <c r="A15" s="165" t="s">
        <v>145</v>
      </c>
      <c r="B15" s="170"/>
      <c r="C15" s="176">
        <f>-(IF(C12&gt;1.5,AB18,(IF(C12&gt;1.25,AB17,(IF(C12&gt;1,AB16,(IF(C12&gt;0.75,AB15,(IF(C12&gt;0.5,AB14,(IF(C12&lt;0.49,AB13,"NA"))))))))))))</f>
        <v>0.06</v>
      </c>
      <c r="D15" s="55"/>
      <c r="E15" s="543"/>
      <c r="F15" s="56"/>
      <c r="G15" s="56"/>
      <c r="H15" s="676"/>
      <c r="I15" s="332"/>
      <c r="J15" s="344"/>
      <c r="K15" s="344"/>
      <c r="L15" s="344"/>
      <c r="M15" s="344"/>
      <c r="N15" s="344"/>
      <c r="O15" s="344"/>
      <c r="P15" s="344"/>
      <c r="Q15" s="344"/>
      <c r="R15" s="344"/>
      <c r="S15" s="344"/>
      <c r="T15" s="344"/>
      <c r="U15" s="344"/>
      <c r="V15" s="344"/>
      <c r="W15" s="344"/>
      <c r="X15" s="344"/>
      <c r="Y15" s="344"/>
      <c r="AA15" s="7" t="s">
        <v>146</v>
      </c>
      <c r="AB15" s="14">
        <v>-0.03</v>
      </c>
      <c r="AC15" s="14">
        <v>0.02</v>
      </c>
    </row>
    <row r="16" spans="1:33" ht="30" customHeight="1" x14ac:dyDescent="0.3">
      <c r="A16" s="168" t="s">
        <v>147</v>
      </c>
      <c r="B16" s="171"/>
      <c r="C16" s="546">
        <f>(IF(C12&gt;1.5,AC18,(IF(C12&gt;1.25,AC17,(IF(C12&gt;1,AC16,(IF(C12&gt;0.75,AC15,(IF(C12&gt;0.5,AC14,(IF(C12&lt;0.49,AC13,"NA"))))))))))))</f>
        <v>0.05</v>
      </c>
      <c r="D16" s="55"/>
      <c r="E16" s="543"/>
      <c r="F16" s="56"/>
      <c r="G16" s="56"/>
      <c r="H16" s="676"/>
      <c r="I16" s="332"/>
      <c r="J16" s="344"/>
      <c r="K16" s="344"/>
      <c r="L16" s="344"/>
      <c r="M16" s="344"/>
      <c r="N16" s="344"/>
      <c r="O16" s="344"/>
      <c r="P16" s="344"/>
      <c r="Q16" s="344"/>
      <c r="R16" s="344"/>
      <c r="S16" s="344"/>
      <c r="T16" s="344"/>
      <c r="U16" s="344"/>
      <c r="V16" s="344"/>
      <c r="W16" s="344"/>
      <c r="X16" s="344"/>
      <c r="Y16" s="344"/>
      <c r="AA16" s="15" t="s">
        <v>148</v>
      </c>
      <c r="AB16" s="16">
        <v>-0.04</v>
      </c>
      <c r="AC16" s="16">
        <v>0.03</v>
      </c>
    </row>
    <row r="17" spans="1:29" ht="20.149999999999999" customHeight="1" x14ac:dyDescent="0.3">
      <c r="A17" s="57"/>
      <c r="B17" s="57"/>
      <c r="C17" s="57"/>
      <c r="D17" s="161"/>
      <c r="E17" s="57"/>
      <c r="F17" s="57"/>
      <c r="G17" s="57"/>
      <c r="H17" s="110"/>
      <c r="I17" s="332"/>
      <c r="J17" s="344"/>
      <c r="K17" s="344"/>
      <c r="L17" s="344"/>
      <c r="M17" s="344"/>
      <c r="N17" s="344"/>
      <c r="O17" s="344"/>
      <c r="P17" s="344"/>
      <c r="Q17" s="344"/>
      <c r="R17" s="344"/>
      <c r="S17" s="344"/>
      <c r="T17" s="344"/>
      <c r="U17" s="344"/>
      <c r="V17" s="344"/>
      <c r="W17" s="344"/>
      <c r="X17" s="344"/>
      <c r="Y17" s="344"/>
      <c r="AA17" s="15" t="s">
        <v>149</v>
      </c>
      <c r="AB17" s="16">
        <v>-0.05</v>
      </c>
      <c r="AC17" s="16">
        <v>0.04</v>
      </c>
    </row>
    <row r="18" spans="1:29" ht="20.149999999999999" customHeight="1" x14ac:dyDescent="0.3">
      <c r="A18" s="645" t="s">
        <v>150</v>
      </c>
      <c r="B18" s="645"/>
      <c r="C18" s="644"/>
      <c r="D18" s="644"/>
      <c r="E18" s="644"/>
      <c r="F18" s="644"/>
      <c r="G18" s="425"/>
      <c r="H18" s="177"/>
      <c r="AA18" s="15" t="s">
        <v>151</v>
      </c>
      <c r="AB18" s="16">
        <v>-0.06</v>
      </c>
      <c r="AC18" s="16">
        <v>0.05</v>
      </c>
    </row>
    <row r="19" spans="1:29" ht="50.15" customHeight="1" x14ac:dyDescent="0.3">
      <c r="A19" s="110"/>
      <c r="B19" s="110"/>
      <c r="C19" s="110"/>
      <c r="D19" s="110"/>
      <c r="E19" s="110"/>
      <c r="F19" s="110"/>
      <c r="G19" s="110"/>
      <c r="H19" s="110"/>
      <c r="I19" s="332"/>
      <c r="J19" s="344"/>
      <c r="K19" s="344"/>
      <c r="L19" s="344"/>
      <c r="M19" s="344"/>
      <c r="N19" s="344"/>
      <c r="O19" s="344"/>
      <c r="P19" s="344"/>
      <c r="Q19" s="344"/>
      <c r="R19" s="344"/>
      <c r="S19" s="344"/>
      <c r="T19" s="344"/>
      <c r="U19" s="344"/>
      <c r="V19" s="344"/>
      <c r="W19" s="344"/>
      <c r="X19" s="344"/>
      <c r="Y19" s="344"/>
      <c r="AA19" s="337"/>
      <c r="AB19" s="337"/>
      <c r="AC19" s="331"/>
    </row>
    <row r="20" spans="1:29" ht="35.15" customHeight="1" x14ac:dyDescent="0.3">
      <c r="A20" s="172" t="s">
        <v>126</v>
      </c>
      <c r="B20" s="270"/>
      <c r="C20" s="270"/>
      <c r="D20" s="665"/>
      <c r="E20" s="665"/>
      <c r="F20" s="665"/>
      <c r="G20" s="665"/>
      <c r="H20" s="665"/>
      <c r="I20" s="332"/>
      <c r="J20" s="344"/>
      <c r="K20" s="344"/>
      <c r="L20" s="344"/>
      <c r="M20" s="344"/>
      <c r="N20" s="344"/>
      <c r="O20" s="344"/>
      <c r="P20" s="344"/>
      <c r="Q20" s="344"/>
      <c r="R20" s="344"/>
      <c r="S20" s="344"/>
      <c r="T20" s="344"/>
      <c r="U20" s="344"/>
      <c r="V20" s="344"/>
      <c r="W20" s="344"/>
      <c r="X20" s="344"/>
      <c r="Y20" s="344"/>
      <c r="Z20" s="344"/>
    </row>
    <row r="21" spans="1:29" ht="20.149999999999999" customHeight="1" x14ac:dyDescent="0.3">
      <c r="A21" s="165" t="s">
        <v>105</v>
      </c>
      <c r="B21" s="173"/>
      <c r="C21" s="660" t="str">
        <f>IF(C12="", "", C15)</f>
        <v/>
      </c>
      <c r="D21" s="666"/>
      <c r="E21" s="666"/>
      <c r="F21" s="666"/>
      <c r="G21" s="666"/>
      <c r="H21" s="666"/>
      <c r="I21" s="332"/>
      <c r="J21" s="344"/>
      <c r="K21" s="344"/>
      <c r="L21" s="344"/>
      <c r="M21" s="344"/>
      <c r="N21" s="344"/>
      <c r="O21" s="344"/>
      <c r="P21" s="344"/>
      <c r="Q21" s="344"/>
      <c r="R21" s="344"/>
      <c r="S21" s="344"/>
      <c r="T21" s="344"/>
      <c r="U21" s="344"/>
      <c r="V21" s="344"/>
      <c r="W21" s="344"/>
      <c r="X21" s="344"/>
      <c r="Y21" s="344"/>
    </row>
    <row r="22" spans="1:29" ht="25.5" customHeight="1" x14ac:dyDescent="0.3">
      <c r="A22" s="168" t="s">
        <v>106</v>
      </c>
      <c r="B22" s="451"/>
      <c r="C22" s="661" t="str">
        <f>IF(C21="","",(C21*'Input Sheet'!I6*'Input Sheet'!B5)*100)</f>
        <v/>
      </c>
      <c r="D22" s="667"/>
      <c r="E22" s="667"/>
      <c r="F22" s="667"/>
      <c r="G22" s="667"/>
      <c r="H22" s="667"/>
      <c r="I22" s="332"/>
      <c r="J22" s="344"/>
      <c r="K22" s="344"/>
      <c r="L22" s="344"/>
      <c r="M22" s="344"/>
      <c r="N22" s="344"/>
      <c r="O22" s="344"/>
      <c r="P22" s="344"/>
      <c r="Q22" s="344"/>
      <c r="R22" s="344"/>
      <c r="S22" s="344"/>
      <c r="T22" s="344"/>
      <c r="U22" s="344"/>
      <c r="V22" s="344"/>
      <c r="W22" s="344"/>
      <c r="X22" s="344"/>
      <c r="Y22" s="344"/>
    </row>
    <row r="23" spans="1:29" ht="20.149999999999999" customHeight="1" x14ac:dyDescent="0.3">
      <c r="A23" s="111"/>
      <c r="B23" s="164"/>
      <c r="C23" s="66"/>
      <c r="D23" s="667"/>
      <c r="E23" s="24"/>
      <c r="F23" s="667"/>
      <c r="G23" s="667"/>
      <c r="H23" s="668"/>
      <c r="I23" s="349"/>
      <c r="J23" s="350"/>
      <c r="K23" s="350"/>
      <c r="L23" s="350"/>
      <c r="M23" s="350"/>
      <c r="N23" s="350"/>
      <c r="O23" s="350"/>
      <c r="P23" s="350"/>
      <c r="Q23" s="350"/>
      <c r="R23" s="350"/>
      <c r="S23" s="350"/>
      <c r="T23" s="350"/>
      <c r="U23" s="350"/>
      <c r="V23" s="350"/>
      <c r="W23" s="350"/>
      <c r="X23" s="350"/>
      <c r="Y23" s="350"/>
    </row>
    <row r="24" spans="1:29" ht="20.149999999999999" customHeight="1" x14ac:dyDescent="0.3">
      <c r="A24" s="172" t="s">
        <v>107</v>
      </c>
      <c r="B24" s="271"/>
      <c r="C24" s="662"/>
      <c r="D24" s="669"/>
      <c r="E24" s="667"/>
      <c r="F24" s="669"/>
      <c r="G24" s="669"/>
      <c r="H24" s="669"/>
      <c r="I24" s="332"/>
      <c r="J24" s="344"/>
      <c r="K24" s="344"/>
      <c r="L24" s="344"/>
      <c r="M24" s="344"/>
      <c r="N24" s="344"/>
      <c r="O24" s="344"/>
      <c r="P24" s="344"/>
      <c r="Q24" s="344"/>
      <c r="R24" s="344"/>
      <c r="S24" s="344"/>
      <c r="T24" s="344"/>
      <c r="U24" s="344"/>
      <c r="V24" s="344"/>
      <c r="W24" s="344"/>
      <c r="X24" s="344"/>
      <c r="Y24" s="344"/>
    </row>
    <row r="25" spans="1:29" ht="20.149999999999999" customHeight="1" x14ac:dyDescent="0.3">
      <c r="A25" s="544" t="s">
        <v>108</v>
      </c>
      <c r="B25" s="545"/>
      <c r="C25" s="663" t="str">
        <f>IF(C12="", "", C16)</f>
        <v/>
      </c>
      <c r="D25" s="667"/>
      <c r="E25" s="667"/>
      <c r="F25" s="667"/>
      <c r="G25" s="667"/>
      <c r="H25" s="667"/>
      <c r="I25" s="332"/>
      <c r="J25" s="344"/>
      <c r="K25" s="344"/>
      <c r="L25" s="344"/>
      <c r="M25" s="344"/>
      <c r="N25" s="344"/>
      <c r="O25" s="344"/>
      <c r="P25" s="344"/>
      <c r="Q25" s="344"/>
      <c r="R25" s="344"/>
      <c r="S25" s="344"/>
      <c r="T25" s="344"/>
      <c r="U25" s="344"/>
      <c r="V25" s="344"/>
      <c r="W25" s="344"/>
      <c r="X25" s="344"/>
      <c r="Y25" s="344"/>
    </row>
    <row r="26" spans="1:29" ht="30" customHeight="1" x14ac:dyDescent="0.3">
      <c r="A26" s="168" t="s">
        <v>106</v>
      </c>
      <c r="B26" s="174"/>
      <c r="C26" s="661" t="str">
        <f>IF(C25="","",(C25*10*'Input Sheet'!B5)*100)</f>
        <v/>
      </c>
      <c r="D26" s="666"/>
      <c r="E26" s="666"/>
      <c r="F26" s="666"/>
      <c r="G26" s="666"/>
      <c r="H26" s="666"/>
      <c r="I26" s="332"/>
      <c r="J26" s="344"/>
      <c r="K26" s="344"/>
      <c r="L26" s="344"/>
      <c r="M26" s="344"/>
      <c r="N26" s="344"/>
      <c r="O26" s="344"/>
      <c r="P26" s="344"/>
      <c r="Q26" s="344"/>
      <c r="R26" s="344"/>
      <c r="S26" s="344"/>
      <c r="T26" s="344"/>
      <c r="U26" s="344"/>
      <c r="V26" s="344"/>
      <c r="W26" s="344"/>
      <c r="X26" s="344"/>
      <c r="Y26" s="344"/>
    </row>
    <row r="27" spans="1:29" ht="20.149999999999999" customHeight="1" x14ac:dyDescent="0.3">
      <c r="A27" s="58"/>
      <c r="B27" s="57"/>
      <c r="C27" s="66"/>
      <c r="D27" s="667"/>
      <c r="E27" s="673"/>
      <c r="F27" s="670"/>
      <c r="G27" s="670"/>
      <c r="H27" s="667"/>
      <c r="I27" s="332"/>
      <c r="J27" s="344"/>
      <c r="K27" s="344"/>
      <c r="L27" s="344"/>
      <c r="M27" s="344"/>
      <c r="N27" s="344"/>
      <c r="O27" s="344"/>
      <c r="P27" s="344"/>
      <c r="Q27" s="344"/>
      <c r="R27" s="344"/>
      <c r="S27" s="344"/>
      <c r="T27" s="344"/>
      <c r="U27" s="344"/>
      <c r="V27" s="344"/>
      <c r="W27" s="344"/>
      <c r="X27" s="344"/>
      <c r="Y27" s="344"/>
    </row>
    <row r="28" spans="1:29" ht="41" customHeight="1" x14ac:dyDescent="0.3">
      <c r="A28" s="172" t="s">
        <v>109</v>
      </c>
      <c r="B28" s="175"/>
      <c r="C28" s="664" t="str">
        <f>IF(AND((C22=""),(C26="")),"",(C22+C26))</f>
        <v/>
      </c>
      <c r="D28" s="671" t="str">
        <f>IF(C28="","Well done!"&amp;CHAR(10)&amp;"You do not have a gap in this area", "")</f>
        <v>Well done!
You do not have a gap in this area</v>
      </c>
      <c r="E28" s="671"/>
      <c r="F28" s="671"/>
      <c r="G28" s="671"/>
      <c r="H28" s="668"/>
      <c r="I28" s="332"/>
      <c r="J28" s="344"/>
      <c r="K28" s="344"/>
      <c r="L28" s="344"/>
      <c r="M28" s="344"/>
      <c r="N28" s="344"/>
      <c r="O28" s="344"/>
      <c r="P28" s="344"/>
      <c r="Q28" s="344"/>
      <c r="R28" s="344"/>
      <c r="S28" s="344"/>
      <c r="T28" s="344"/>
      <c r="U28" s="344"/>
      <c r="V28" s="344"/>
      <c r="W28" s="344"/>
      <c r="X28" s="344"/>
      <c r="Y28" s="344"/>
    </row>
    <row r="29" spans="1:29" ht="20.149999999999999" customHeight="1" x14ac:dyDescent="0.3">
      <c r="A29" s="163"/>
      <c r="B29" s="163"/>
      <c r="C29" s="163"/>
      <c r="D29" s="672"/>
      <c r="E29" s="670"/>
      <c r="F29" s="670"/>
      <c r="G29" s="670"/>
      <c r="H29" s="672"/>
      <c r="I29" s="332"/>
      <c r="J29" s="344"/>
      <c r="K29" s="344"/>
      <c r="L29" s="344"/>
      <c r="M29" s="344"/>
      <c r="N29" s="344"/>
      <c r="O29" s="344"/>
      <c r="P29" s="344"/>
      <c r="Q29" s="344"/>
      <c r="R29" s="344"/>
      <c r="S29" s="344"/>
      <c r="T29" s="344"/>
      <c r="U29" s="344"/>
      <c r="V29" s="344"/>
      <c r="W29" s="344"/>
      <c r="X29" s="344"/>
      <c r="Y29" s="344"/>
    </row>
    <row r="30" spans="1:29" ht="30" customHeight="1" x14ac:dyDescent="0.3">
      <c r="A30" s="57"/>
      <c r="B30" s="57"/>
      <c r="C30" s="57"/>
      <c r="D30" s="57"/>
      <c r="E30" s="57"/>
      <c r="F30" s="57"/>
      <c r="G30" s="57"/>
      <c r="H30" s="57"/>
      <c r="I30" s="332"/>
      <c r="J30" s="344"/>
      <c r="K30" s="344"/>
      <c r="L30" s="344"/>
      <c r="M30" s="344"/>
      <c r="N30" s="344"/>
      <c r="O30" s="344"/>
      <c r="P30" s="344"/>
      <c r="Q30" s="344"/>
      <c r="R30" s="344"/>
      <c r="S30" s="344"/>
      <c r="T30" s="344"/>
      <c r="U30" s="344"/>
      <c r="V30" s="344"/>
      <c r="W30" s="344"/>
      <c r="X30" s="344"/>
      <c r="Y30" s="344"/>
    </row>
    <row r="31" spans="1:29" ht="20.149999999999999" customHeight="1" x14ac:dyDescent="0.3">
      <c r="A31" s="162"/>
      <c r="B31" s="162"/>
      <c r="C31" s="162"/>
      <c r="D31" s="162"/>
      <c r="E31" s="162"/>
      <c r="F31" s="162"/>
      <c r="G31" s="162"/>
      <c r="H31" s="162"/>
      <c r="I31" s="332"/>
      <c r="J31" s="344"/>
      <c r="K31" s="344"/>
      <c r="L31" s="344"/>
      <c r="M31" s="344"/>
      <c r="N31" s="344"/>
      <c r="O31" s="344"/>
      <c r="P31" s="344"/>
      <c r="Q31" s="344"/>
      <c r="R31" s="344"/>
      <c r="S31" s="344"/>
      <c r="T31" s="344"/>
      <c r="U31" s="344"/>
      <c r="V31" s="344"/>
      <c r="W31" s="344"/>
      <c r="X31" s="344"/>
      <c r="Y31" s="344"/>
      <c r="Z31" s="344"/>
    </row>
    <row r="32" spans="1:29" ht="20.149999999999999" hidden="1" customHeight="1" x14ac:dyDescent="0.3">
      <c r="A32" s="57"/>
      <c r="B32" s="57"/>
      <c r="C32" s="57"/>
      <c r="D32" s="57"/>
      <c r="E32" s="57"/>
      <c r="F32" s="57"/>
      <c r="G32" s="57"/>
      <c r="H32" s="58"/>
      <c r="I32" s="332"/>
      <c r="J32" s="344"/>
      <c r="K32" s="344"/>
      <c r="L32" s="344"/>
      <c r="M32" s="344"/>
      <c r="N32" s="344"/>
      <c r="O32" s="344"/>
      <c r="P32" s="344"/>
      <c r="Q32" s="344"/>
      <c r="R32" s="344"/>
      <c r="S32" s="344"/>
      <c r="T32" s="344"/>
      <c r="U32" s="344"/>
      <c r="V32" s="344"/>
      <c r="W32" s="344"/>
      <c r="X32" s="344"/>
      <c r="Y32" s="344"/>
      <c r="Z32" s="344"/>
    </row>
    <row r="33" spans="1:26" ht="20.149999999999999" hidden="1" customHeight="1" x14ac:dyDescent="0.3">
      <c r="A33" s="110"/>
      <c r="B33" s="57"/>
      <c r="C33" s="57"/>
      <c r="D33" s="181"/>
      <c r="E33" s="182"/>
      <c r="F33" s="181"/>
      <c r="G33" s="57"/>
      <c r="H33" s="58"/>
      <c r="I33" s="332"/>
      <c r="J33" s="344"/>
      <c r="K33" s="344"/>
      <c r="L33" s="344"/>
      <c r="M33" s="344"/>
      <c r="N33" s="344"/>
      <c r="O33" s="344"/>
      <c r="P33" s="344"/>
      <c r="Q33" s="344"/>
      <c r="R33" s="344"/>
      <c r="S33" s="344"/>
      <c r="T33" s="344"/>
      <c r="U33" s="344"/>
      <c r="V33" s="344"/>
      <c r="W33" s="344"/>
      <c r="X33" s="344"/>
      <c r="Y33" s="344"/>
      <c r="Z33" s="344"/>
    </row>
    <row r="34" spans="1:26" ht="20.149999999999999" hidden="1" customHeight="1" x14ac:dyDescent="0.3">
      <c r="A34" s="110"/>
      <c r="B34" s="110"/>
      <c r="C34" s="110"/>
      <c r="D34" s="110"/>
      <c r="E34" s="110"/>
      <c r="F34" s="110"/>
      <c r="G34" s="110"/>
      <c r="H34" s="70"/>
      <c r="I34" s="332"/>
      <c r="J34" s="344"/>
      <c r="K34" s="344"/>
      <c r="L34" s="344"/>
      <c r="M34" s="344"/>
      <c r="N34" s="344"/>
      <c r="O34" s="344"/>
      <c r="P34" s="344"/>
      <c r="Q34" s="344"/>
      <c r="R34" s="344"/>
      <c r="S34" s="344"/>
      <c r="T34" s="344"/>
      <c r="U34" s="344"/>
      <c r="V34" s="344"/>
      <c r="W34" s="344"/>
      <c r="X34" s="344"/>
      <c r="Y34" s="344"/>
      <c r="Z34" s="344"/>
    </row>
    <row r="35" spans="1:26" ht="20.149999999999999" hidden="1" customHeight="1" x14ac:dyDescent="0.3">
      <c r="A35" s="108"/>
      <c r="B35" s="108"/>
      <c r="C35" s="108"/>
      <c r="D35" s="108"/>
      <c r="E35" s="108"/>
      <c r="F35" s="108"/>
      <c r="G35" s="108"/>
      <c r="H35" s="1"/>
      <c r="I35" s="332"/>
      <c r="J35" s="344"/>
      <c r="K35" s="344"/>
      <c r="L35" s="344"/>
      <c r="M35" s="344"/>
      <c r="N35" s="344"/>
      <c r="O35" s="344"/>
      <c r="P35" s="344"/>
      <c r="Q35" s="344"/>
      <c r="R35" s="344"/>
      <c r="S35" s="344"/>
      <c r="T35" s="344"/>
      <c r="U35" s="344"/>
      <c r="V35" s="344"/>
      <c r="W35" s="344"/>
      <c r="X35" s="344"/>
      <c r="Y35" s="344"/>
      <c r="Z35" s="344"/>
    </row>
    <row r="36" spans="1:26" hidden="1" x14ac:dyDescent="0.3">
      <c r="A36" s="108"/>
      <c r="B36" s="108"/>
      <c r="C36" s="108"/>
      <c r="D36" s="108"/>
      <c r="E36" s="108"/>
      <c r="F36" s="108"/>
      <c r="G36" s="108"/>
      <c r="H36" s="1"/>
      <c r="I36" s="332"/>
      <c r="J36" s="344"/>
      <c r="K36" s="344"/>
      <c r="L36" s="344"/>
      <c r="M36" s="344"/>
      <c r="N36" s="344"/>
      <c r="O36" s="344"/>
      <c r="P36" s="344"/>
      <c r="Q36" s="344"/>
      <c r="R36" s="344"/>
      <c r="S36" s="344"/>
      <c r="T36" s="344"/>
      <c r="U36" s="344"/>
      <c r="V36" s="344"/>
      <c r="W36" s="344"/>
      <c r="X36" s="344"/>
      <c r="Y36" s="344"/>
      <c r="Z36" s="344"/>
    </row>
    <row r="37" spans="1:26" hidden="1" x14ac:dyDescent="0.3">
      <c r="A37" s="24"/>
      <c r="B37" s="24"/>
      <c r="C37" s="24"/>
      <c r="D37" s="24"/>
      <c r="E37" s="24"/>
      <c r="F37" s="24"/>
      <c r="G37" s="24"/>
      <c r="I37" s="332"/>
      <c r="J37" s="344"/>
      <c r="K37" s="344"/>
      <c r="L37" s="344"/>
      <c r="M37" s="344"/>
      <c r="N37" s="344"/>
      <c r="O37" s="344"/>
      <c r="P37" s="344"/>
      <c r="Q37" s="344"/>
      <c r="R37" s="344"/>
      <c r="S37" s="344"/>
      <c r="T37" s="344"/>
      <c r="U37" s="344"/>
      <c r="V37" s="344"/>
      <c r="W37" s="344"/>
      <c r="X37" s="344"/>
      <c r="Y37" s="344"/>
      <c r="Z37" s="344"/>
    </row>
    <row r="38" spans="1:26" hidden="1" x14ac:dyDescent="0.3">
      <c r="A38" s="24"/>
      <c r="B38" s="24"/>
      <c r="C38" s="24"/>
      <c r="D38" s="24"/>
      <c r="E38" s="24"/>
      <c r="F38" s="24"/>
      <c r="G38" s="24"/>
      <c r="I38" s="332"/>
      <c r="J38" s="344"/>
      <c r="K38" s="344"/>
      <c r="L38" s="344"/>
      <c r="M38" s="344"/>
      <c r="N38" s="344"/>
      <c r="O38" s="344"/>
      <c r="P38" s="344"/>
      <c r="Q38" s="344"/>
      <c r="R38" s="344"/>
      <c r="S38" s="344"/>
      <c r="T38" s="344"/>
      <c r="U38" s="344"/>
      <c r="V38" s="344"/>
      <c r="W38" s="344"/>
      <c r="X38" s="344"/>
      <c r="Y38" s="344"/>
      <c r="Z38" s="344"/>
    </row>
    <row r="39" spans="1:26" ht="23.25" hidden="1" customHeight="1" x14ac:dyDescent="0.3">
      <c r="A39" s="24"/>
      <c r="B39" s="24"/>
      <c r="C39" s="24"/>
      <c r="D39" s="24"/>
      <c r="E39" s="24"/>
      <c r="F39" s="24"/>
      <c r="G39" s="24"/>
      <c r="I39" s="332"/>
      <c r="J39" s="344"/>
      <c r="K39" s="344"/>
      <c r="L39" s="344"/>
      <c r="M39" s="344"/>
      <c r="N39" s="344"/>
      <c r="O39" s="344"/>
      <c r="P39" s="344"/>
      <c r="Q39" s="344"/>
      <c r="R39" s="344"/>
      <c r="S39" s="344"/>
      <c r="T39" s="344"/>
      <c r="U39" s="344"/>
      <c r="V39" s="344"/>
      <c r="W39" s="344"/>
      <c r="X39" s="344"/>
      <c r="Y39" s="344"/>
      <c r="Z39" s="344"/>
    </row>
    <row r="40" spans="1:26" hidden="1" x14ac:dyDescent="0.3">
      <c r="A40" s="24"/>
      <c r="B40" s="24"/>
      <c r="C40" s="24"/>
      <c r="D40" s="24"/>
      <c r="E40" s="24"/>
      <c r="F40" s="24"/>
      <c r="G40" s="24"/>
      <c r="I40" s="332"/>
      <c r="J40" s="344"/>
      <c r="K40" s="344"/>
      <c r="L40" s="344"/>
      <c r="M40" s="344"/>
      <c r="N40" s="344"/>
      <c r="O40" s="344"/>
      <c r="P40" s="344"/>
      <c r="Q40" s="344"/>
      <c r="R40" s="344"/>
      <c r="S40" s="344"/>
      <c r="T40" s="344"/>
      <c r="U40" s="344"/>
      <c r="V40" s="344"/>
      <c r="W40" s="344"/>
      <c r="X40" s="344"/>
      <c r="Y40" s="344"/>
      <c r="Z40" s="344"/>
    </row>
    <row r="41" spans="1:26" ht="15" hidden="1" customHeight="1" x14ac:dyDescent="0.3">
      <c r="A41" s="24"/>
      <c r="B41" s="24"/>
      <c r="C41" s="24"/>
      <c r="D41" s="24"/>
      <c r="E41" s="24"/>
      <c r="F41" s="24"/>
      <c r="G41" s="24"/>
      <c r="I41" s="332"/>
      <c r="J41" s="344"/>
      <c r="K41" s="344"/>
      <c r="L41" s="344"/>
      <c r="M41" s="344"/>
      <c r="N41" s="344"/>
      <c r="O41" s="344"/>
      <c r="P41" s="344"/>
      <c r="Q41" s="344"/>
      <c r="R41" s="344"/>
      <c r="S41" s="344"/>
      <c r="T41" s="344"/>
      <c r="U41" s="344"/>
      <c r="V41" s="344"/>
      <c r="W41" s="344"/>
      <c r="X41" s="344"/>
      <c r="Y41" s="344"/>
      <c r="Z41" s="344"/>
    </row>
    <row r="42" spans="1:26" hidden="1" x14ac:dyDescent="0.3">
      <c r="A42" s="24"/>
      <c r="B42" s="24"/>
      <c r="C42" s="24"/>
      <c r="D42" s="24"/>
      <c r="E42" s="24"/>
      <c r="F42" s="24"/>
      <c r="G42" s="24"/>
      <c r="I42" s="332"/>
      <c r="J42" s="344"/>
      <c r="K42" s="344"/>
      <c r="L42" s="344"/>
      <c r="M42" s="344"/>
      <c r="N42" s="344"/>
      <c r="O42" s="344"/>
      <c r="P42" s="344"/>
      <c r="Q42" s="344"/>
      <c r="R42" s="344"/>
      <c r="S42" s="344"/>
      <c r="T42" s="344"/>
      <c r="U42" s="344"/>
      <c r="V42" s="344"/>
      <c r="W42" s="344"/>
      <c r="X42" s="344"/>
      <c r="Y42" s="344"/>
      <c r="Z42" s="344"/>
    </row>
    <row r="43" spans="1:26" hidden="1" x14ac:dyDescent="0.3">
      <c r="A43" s="24"/>
      <c r="B43" s="24"/>
      <c r="C43" s="24"/>
      <c r="D43" s="24"/>
      <c r="E43" s="24"/>
      <c r="F43" s="24"/>
      <c r="G43" s="24"/>
      <c r="I43" s="332"/>
      <c r="J43" s="344"/>
      <c r="K43" s="344"/>
      <c r="L43" s="344"/>
      <c r="M43" s="344"/>
      <c r="N43" s="344"/>
      <c r="O43" s="344"/>
      <c r="P43" s="344"/>
      <c r="Q43" s="344"/>
      <c r="R43" s="344"/>
      <c r="S43" s="344"/>
      <c r="T43" s="344"/>
      <c r="U43" s="344"/>
      <c r="V43" s="344"/>
      <c r="W43" s="344"/>
      <c r="X43" s="344"/>
      <c r="Y43" s="344"/>
      <c r="Z43" s="344"/>
    </row>
    <row r="44" spans="1:26" hidden="1" x14ac:dyDescent="0.3">
      <c r="A44" s="24"/>
      <c r="B44" s="24"/>
      <c r="C44" s="24"/>
      <c r="D44" s="24"/>
      <c r="E44" s="24"/>
      <c r="F44" s="24"/>
      <c r="G44" s="24"/>
      <c r="I44" s="332"/>
      <c r="J44" s="344"/>
      <c r="K44" s="344"/>
      <c r="L44" s="344"/>
      <c r="M44" s="344"/>
      <c r="N44" s="344"/>
      <c r="O44" s="344"/>
      <c r="P44" s="344"/>
      <c r="Q44" s="344"/>
      <c r="R44" s="344"/>
      <c r="S44" s="344"/>
      <c r="T44" s="344"/>
      <c r="U44" s="344"/>
      <c r="V44" s="344"/>
      <c r="W44" s="344"/>
      <c r="X44" s="344"/>
      <c r="Y44" s="344"/>
      <c r="Z44" s="344"/>
    </row>
    <row r="45" spans="1:26" x14ac:dyDescent="0.3">
      <c r="A45" s="24"/>
      <c r="B45" s="24"/>
      <c r="C45" s="24"/>
      <c r="D45" s="24"/>
      <c r="E45" s="24"/>
      <c r="F45" s="24"/>
      <c r="G45" s="24"/>
      <c r="I45" s="332"/>
      <c r="J45" s="344"/>
      <c r="K45" s="344"/>
      <c r="L45" s="344"/>
      <c r="M45" s="344"/>
      <c r="N45" s="344"/>
      <c r="O45" s="344"/>
      <c r="P45" s="344"/>
      <c r="Q45" s="344"/>
      <c r="R45" s="344"/>
      <c r="S45" s="344"/>
      <c r="T45" s="344"/>
      <c r="U45" s="344"/>
      <c r="V45" s="344"/>
      <c r="W45" s="344"/>
      <c r="X45" s="344"/>
      <c r="Y45" s="344"/>
      <c r="Z45" s="344"/>
    </row>
    <row r="46" spans="1:26" ht="30" customHeight="1" x14ac:dyDescent="0.3">
      <c r="A46" s="29"/>
      <c r="B46" s="29"/>
      <c r="C46" s="29"/>
      <c r="D46" s="29"/>
      <c r="E46" s="29"/>
      <c r="F46" s="29"/>
      <c r="G46" s="29"/>
      <c r="I46" s="332"/>
      <c r="J46" s="344"/>
      <c r="K46" s="344"/>
      <c r="L46" s="344"/>
      <c r="M46" s="344"/>
      <c r="N46" s="344"/>
      <c r="O46" s="344"/>
      <c r="P46" s="344"/>
      <c r="Q46" s="344"/>
      <c r="R46" s="344"/>
      <c r="S46" s="344"/>
      <c r="T46" s="344"/>
      <c r="U46" s="344"/>
      <c r="V46" s="344"/>
      <c r="W46" s="344"/>
      <c r="X46" s="344"/>
      <c r="Y46" s="344"/>
      <c r="Z46" s="344"/>
    </row>
    <row r="47" spans="1:26" x14ac:dyDescent="0.3">
      <c r="A47" s="29"/>
      <c r="B47" s="29"/>
      <c r="C47" s="29"/>
      <c r="D47" s="29"/>
      <c r="E47" s="29"/>
      <c r="F47" s="29"/>
      <c r="G47" s="29"/>
      <c r="I47" s="332"/>
      <c r="J47" s="344"/>
      <c r="K47" s="344"/>
      <c r="L47" s="344"/>
      <c r="M47" s="344"/>
      <c r="N47" s="344"/>
      <c r="O47" s="344"/>
      <c r="P47" s="344"/>
      <c r="Q47" s="344"/>
      <c r="R47" s="344"/>
      <c r="S47" s="344"/>
      <c r="T47" s="344"/>
      <c r="U47" s="344"/>
      <c r="V47" s="344"/>
      <c r="W47" s="344"/>
      <c r="X47" s="344"/>
      <c r="Y47" s="344"/>
      <c r="Z47" s="344"/>
    </row>
    <row r="48" spans="1:26" ht="14.25" customHeight="1" x14ac:dyDescent="0.3">
      <c r="A48" s="29"/>
      <c r="B48" s="29"/>
      <c r="C48" s="29"/>
      <c r="D48" s="29"/>
      <c r="E48" s="29"/>
      <c r="F48" s="29"/>
      <c r="G48" s="29"/>
      <c r="I48" s="332"/>
      <c r="J48" s="344"/>
      <c r="K48" s="344"/>
      <c r="L48" s="344"/>
      <c r="M48" s="344"/>
      <c r="N48" s="344"/>
      <c r="O48" s="344"/>
      <c r="P48" s="344"/>
      <c r="Q48" s="344"/>
      <c r="R48" s="344"/>
      <c r="S48" s="344"/>
      <c r="T48" s="344"/>
      <c r="U48" s="344"/>
      <c r="V48" s="344"/>
      <c r="W48" s="344"/>
      <c r="X48" s="344"/>
      <c r="Y48" s="344"/>
      <c r="Z48" s="344"/>
    </row>
    <row r="49" spans="1:26" ht="14.25" customHeight="1" x14ac:dyDescent="0.3">
      <c r="A49" s="29"/>
      <c r="B49" s="29"/>
      <c r="C49" s="29"/>
      <c r="D49" s="29"/>
      <c r="E49" s="29"/>
      <c r="F49" s="29"/>
      <c r="G49" s="29"/>
      <c r="I49" s="332"/>
      <c r="J49" s="344"/>
      <c r="K49" s="344"/>
      <c r="L49" s="344"/>
      <c r="M49" s="344"/>
      <c r="N49" s="344"/>
      <c r="O49" s="344"/>
      <c r="P49" s="344"/>
      <c r="Q49" s="344"/>
      <c r="R49" s="344"/>
      <c r="S49" s="344"/>
      <c r="T49" s="344"/>
      <c r="U49" s="344"/>
      <c r="V49" s="344"/>
      <c r="W49" s="344"/>
      <c r="X49" s="344"/>
      <c r="Y49" s="344"/>
      <c r="Z49" s="344"/>
    </row>
    <row r="50" spans="1:26" ht="14.25" hidden="1" customHeight="1" x14ac:dyDescent="0.3">
      <c r="I50" s="332"/>
      <c r="J50" s="344"/>
      <c r="K50" s="344"/>
      <c r="L50" s="344"/>
      <c r="M50" s="344"/>
      <c r="N50" s="344"/>
      <c r="O50" s="344"/>
      <c r="P50" s="344"/>
      <c r="Q50" s="344"/>
      <c r="R50" s="344"/>
      <c r="S50" s="344"/>
      <c r="T50" s="344"/>
      <c r="U50" s="344"/>
      <c r="V50" s="344"/>
      <c r="W50" s="344"/>
      <c r="X50" s="344"/>
      <c r="Y50" s="344"/>
      <c r="Z50" s="344"/>
    </row>
    <row r="51" spans="1:26" ht="14.25" hidden="1" customHeight="1" x14ac:dyDescent="0.3">
      <c r="I51" s="332"/>
      <c r="J51" s="344"/>
      <c r="K51" s="344"/>
      <c r="L51" s="344"/>
      <c r="M51" s="344"/>
      <c r="N51" s="344"/>
      <c r="O51" s="344"/>
      <c r="P51" s="344"/>
      <c r="Q51" s="344"/>
      <c r="R51" s="344"/>
      <c r="S51" s="344"/>
      <c r="T51" s="344"/>
      <c r="U51" s="344"/>
      <c r="V51" s="344"/>
      <c r="W51" s="344"/>
      <c r="X51" s="344"/>
      <c r="Y51" s="344"/>
      <c r="Z51" s="344"/>
    </row>
    <row r="52" spans="1:26" ht="14.25" hidden="1" customHeight="1" x14ac:dyDescent="0.3">
      <c r="I52" s="332"/>
      <c r="J52" s="344"/>
      <c r="K52" s="344"/>
      <c r="L52" s="344"/>
      <c r="M52" s="344"/>
      <c r="N52" s="344"/>
      <c r="O52" s="344"/>
      <c r="P52" s="344"/>
      <c r="Q52" s="344"/>
      <c r="R52" s="344"/>
      <c r="S52" s="344"/>
      <c r="T52" s="344"/>
      <c r="U52" s="344"/>
      <c r="V52" s="344"/>
      <c r="W52" s="344"/>
      <c r="X52" s="344"/>
      <c r="Y52" s="344"/>
      <c r="Z52" s="344"/>
    </row>
    <row r="53" spans="1:26" hidden="1" x14ac:dyDescent="0.3">
      <c r="I53" s="332"/>
      <c r="J53" s="344"/>
      <c r="K53" s="344"/>
      <c r="L53" s="344"/>
      <c r="M53" s="344"/>
      <c r="N53" s="344"/>
      <c r="O53" s="344"/>
      <c r="P53" s="344"/>
      <c r="Q53" s="344"/>
      <c r="R53" s="344"/>
      <c r="S53" s="344"/>
      <c r="T53" s="344"/>
      <c r="U53" s="344"/>
      <c r="V53" s="344"/>
      <c r="W53" s="344"/>
      <c r="X53" s="344"/>
      <c r="Y53" s="344"/>
      <c r="Z53" s="344"/>
    </row>
    <row r="54" spans="1:26" hidden="1" x14ac:dyDescent="0.3">
      <c r="I54" s="332"/>
      <c r="J54" s="344"/>
      <c r="K54" s="344"/>
      <c r="L54" s="344"/>
      <c r="M54" s="344"/>
      <c r="N54" s="344"/>
      <c r="O54" s="344"/>
      <c r="P54" s="344"/>
      <c r="Q54" s="344"/>
      <c r="R54" s="344"/>
      <c r="S54" s="344"/>
      <c r="T54" s="344"/>
      <c r="U54" s="344"/>
      <c r="V54" s="344"/>
      <c r="W54" s="344"/>
      <c r="X54" s="344"/>
      <c r="Y54" s="344"/>
      <c r="Z54" s="344"/>
    </row>
    <row r="55" spans="1:26" hidden="1" x14ac:dyDescent="0.3">
      <c r="I55" s="332"/>
      <c r="J55" s="344"/>
      <c r="K55" s="344"/>
      <c r="L55" s="344"/>
      <c r="M55" s="344"/>
      <c r="N55" s="344"/>
      <c r="O55" s="344"/>
      <c r="P55" s="344"/>
      <c r="Q55" s="344"/>
      <c r="R55" s="344"/>
      <c r="S55" s="344"/>
      <c r="T55" s="344"/>
      <c r="U55" s="344"/>
      <c r="V55" s="344"/>
      <c r="W55" s="344"/>
      <c r="X55" s="344"/>
      <c r="Y55" s="344"/>
      <c r="Z55" s="344"/>
    </row>
    <row r="56" spans="1:26" hidden="1" x14ac:dyDescent="0.3">
      <c r="I56" s="332"/>
      <c r="J56" s="344"/>
      <c r="K56" s="344"/>
      <c r="L56" s="344"/>
      <c r="M56" s="344"/>
      <c r="N56" s="344"/>
      <c r="O56" s="344"/>
      <c r="P56" s="344"/>
      <c r="Q56" s="344"/>
      <c r="R56" s="344"/>
      <c r="S56" s="344"/>
      <c r="T56" s="344"/>
      <c r="U56" s="344"/>
      <c r="V56" s="344"/>
      <c r="W56" s="344"/>
      <c r="X56" s="344"/>
      <c r="Y56" s="344"/>
      <c r="Z56" s="344"/>
    </row>
    <row r="57" spans="1:26" hidden="1" x14ac:dyDescent="0.3">
      <c r="I57" s="332"/>
      <c r="J57" s="344"/>
      <c r="K57" s="344"/>
      <c r="L57" s="344"/>
      <c r="M57" s="344"/>
      <c r="N57" s="344"/>
      <c r="O57" s="344"/>
      <c r="P57" s="344"/>
      <c r="Q57" s="344"/>
      <c r="R57" s="344"/>
      <c r="S57" s="344"/>
      <c r="T57" s="344"/>
      <c r="U57" s="344"/>
      <c r="V57" s="344"/>
      <c r="W57" s="344"/>
      <c r="X57" s="344"/>
      <c r="Y57" s="344"/>
      <c r="Z57" s="344"/>
    </row>
    <row r="58" spans="1:26" hidden="1" x14ac:dyDescent="0.3">
      <c r="I58" s="332"/>
      <c r="J58" s="344"/>
      <c r="K58" s="344"/>
      <c r="L58" s="344"/>
      <c r="M58" s="344"/>
      <c r="N58" s="344"/>
      <c r="O58" s="344"/>
      <c r="P58" s="344"/>
      <c r="Q58" s="344"/>
      <c r="R58" s="344"/>
      <c r="S58" s="344"/>
      <c r="T58" s="344"/>
      <c r="U58" s="344"/>
      <c r="V58" s="344"/>
      <c r="W58" s="344"/>
      <c r="X58" s="344"/>
      <c r="Y58" s="344"/>
      <c r="Z58" s="344"/>
    </row>
  </sheetData>
  <sheetProtection sheet="1" objects="1" selectLockedCells="1"/>
  <mergeCells count="17">
    <mergeCell ref="A9:B9"/>
    <mergeCell ref="C9:D9"/>
    <mergeCell ref="E9:F9"/>
    <mergeCell ref="B4:C4"/>
    <mergeCell ref="B5:C5"/>
    <mergeCell ref="B6:C6"/>
    <mergeCell ref="B7:C7"/>
    <mergeCell ref="F4:H4"/>
    <mergeCell ref="F5:H6"/>
    <mergeCell ref="F7:H7"/>
    <mergeCell ref="D28:G28"/>
    <mergeCell ref="AA11:AA12"/>
    <mergeCell ref="AB11:AB12"/>
    <mergeCell ref="AC11:AC12"/>
    <mergeCell ref="A18:B18"/>
    <mergeCell ref="C18:D18"/>
    <mergeCell ref="E18:F18"/>
  </mergeCells>
  <printOptions horizontalCentered="1"/>
  <pageMargins left="0.5" right="0.5" top="0.5" bottom="0.5" header="0.5" footer="0.5"/>
  <pageSetup paperSize="9" scale="66" fitToHeight="0" orientation="portrait" r:id="rId1"/>
  <colBreaks count="1" manualBreakCount="1">
    <brk id="8"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B5A71"/>
    <pageSetUpPr fitToPage="1"/>
  </sheetPr>
  <dimension ref="A1:AQ57"/>
  <sheetViews>
    <sheetView topLeftCell="A33" zoomScaleNormal="100" workbookViewId="0">
      <selection activeCell="B56" sqref="B56"/>
    </sheetView>
  </sheetViews>
  <sheetFormatPr defaultColWidth="0" defaultRowHeight="14" zeroHeight="1" x14ac:dyDescent="0.3"/>
  <cols>
    <col min="1" max="1" width="69.25" style="35" customWidth="1"/>
    <col min="2" max="2" width="23.83203125" style="7" customWidth="1"/>
    <col min="3" max="3" width="40.58203125" style="58" customWidth="1"/>
    <col min="4" max="4" width="25.33203125" style="339" hidden="1" customWidth="1"/>
    <col min="5" max="5" width="8.83203125" style="340" hidden="1" customWidth="1"/>
    <col min="6" max="6" width="9.33203125" style="340" hidden="1" customWidth="1"/>
    <col min="7" max="7" width="10.25" style="340" hidden="1" customWidth="1"/>
    <col min="8" max="14" width="9.58203125" style="340" hidden="1" customWidth="1"/>
    <col min="15" max="15" width="31.83203125" style="340" hidden="1" customWidth="1"/>
    <col min="16" max="16" width="34.5" style="341" hidden="1" customWidth="1"/>
    <col min="17" max="17" width="3.58203125" style="340" hidden="1" customWidth="1"/>
    <col min="18" max="19" width="3.75" style="340" hidden="1" customWidth="1"/>
    <col min="20" max="20" width="3.58203125" style="340" hidden="1" customWidth="1"/>
    <col min="21" max="38" width="3.75" style="340" hidden="1" customWidth="1"/>
    <col min="39" max="39" width="4.5" style="340" hidden="1" customWidth="1"/>
    <col min="40" max="16384" width="9" style="340" hidden="1"/>
  </cols>
  <sheetData>
    <row r="1" spans="1:43" s="58" customFormat="1" ht="60" customHeight="1" x14ac:dyDescent="0.3">
      <c r="A1" s="32" t="s">
        <v>152</v>
      </c>
      <c r="B1" s="109"/>
      <c r="C1" s="109"/>
      <c r="D1" s="354"/>
      <c r="E1" s="355"/>
      <c r="F1" s="355"/>
      <c r="G1" s="355"/>
      <c r="H1" s="355"/>
      <c r="I1" s="355"/>
      <c r="J1" s="355"/>
      <c r="K1" s="355"/>
      <c r="L1" s="355"/>
      <c r="M1" s="355"/>
      <c r="N1" s="355"/>
      <c r="O1" s="355"/>
      <c r="P1" s="356"/>
      <c r="Q1" s="355"/>
      <c r="R1" s="355"/>
      <c r="S1" s="355"/>
      <c r="T1" s="355"/>
      <c r="U1" s="355"/>
      <c r="V1" s="355"/>
      <c r="W1" s="355"/>
      <c r="X1" s="355"/>
      <c r="Y1" s="355"/>
      <c r="Z1" s="355"/>
      <c r="AA1" s="355"/>
      <c r="AB1" s="355"/>
      <c r="AC1" s="355"/>
      <c r="AD1" s="355"/>
      <c r="AE1" s="355"/>
      <c r="AF1" s="355"/>
      <c r="AG1" s="355"/>
      <c r="AH1" s="355"/>
      <c r="AI1" s="355"/>
      <c r="AJ1" s="355"/>
      <c r="AK1" s="355"/>
      <c r="AL1" s="355"/>
      <c r="AM1" s="356"/>
    </row>
    <row r="2" spans="1:43" s="58" customFormat="1" ht="20.149999999999999" customHeight="1" x14ac:dyDescent="0.3">
      <c r="A2" s="40"/>
      <c r="B2" s="66"/>
      <c r="C2" s="57"/>
      <c r="D2" s="339"/>
      <c r="E2" s="340"/>
      <c r="F2" s="340"/>
      <c r="G2" s="340"/>
      <c r="H2" s="340"/>
      <c r="I2" s="340"/>
      <c r="J2" s="340"/>
      <c r="K2" s="340"/>
      <c r="L2" s="340"/>
      <c r="M2" s="340"/>
      <c r="N2" s="340"/>
      <c r="O2" s="340"/>
      <c r="P2" s="341"/>
      <c r="Q2" s="378"/>
      <c r="R2" s="378"/>
      <c r="S2" s="378"/>
      <c r="T2" s="378"/>
      <c r="U2" s="378"/>
      <c r="V2" s="378"/>
      <c r="W2" s="378"/>
      <c r="X2" s="378"/>
      <c r="Y2" s="378"/>
      <c r="Z2" s="378"/>
      <c r="AA2" s="378"/>
      <c r="AB2" s="378"/>
      <c r="AC2" s="378"/>
      <c r="AD2" s="378"/>
      <c r="AE2" s="378"/>
      <c r="AF2" s="378"/>
      <c r="AG2" s="378"/>
      <c r="AH2" s="378"/>
      <c r="AI2" s="378"/>
      <c r="AJ2" s="378"/>
      <c r="AK2" s="378"/>
      <c r="AL2" s="378"/>
      <c r="AM2" s="379"/>
    </row>
    <row r="3" spans="1:43" s="58" customFormat="1" ht="20.149999999999999" customHeight="1" x14ac:dyDescent="0.3">
      <c r="A3" s="243" t="s">
        <v>23</v>
      </c>
      <c r="B3" s="224">
        <f>('Input Sheet'!F6)</f>
        <v>0</v>
      </c>
      <c r="C3" s="57"/>
      <c r="D3" s="339"/>
      <c r="E3" s="340"/>
      <c r="F3" s="340"/>
      <c r="G3" s="340"/>
      <c r="H3" s="340"/>
      <c r="I3" s="340"/>
      <c r="J3" s="340"/>
      <c r="K3" s="340"/>
      <c r="L3" s="340"/>
      <c r="M3" s="340"/>
      <c r="N3" s="340"/>
      <c r="O3" s="340"/>
      <c r="P3" s="341"/>
      <c r="Q3" s="651"/>
      <c r="R3" s="651"/>
      <c r="S3" s="5">
        <v>0</v>
      </c>
      <c r="T3" s="5">
        <v>0.05</v>
      </c>
      <c r="U3" s="5">
        <v>0.1</v>
      </c>
      <c r="V3" s="5">
        <v>0.15</v>
      </c>
      <c r="W3" s="5">
        <v>0.2</v>
      </c>
      <c r="X3" s="5">
        <v>0.25</v>
      </c>
      <c r="Y3" s="5">
        <v>0.3</v>
      </c>
      <c r="Z3" s="5">
        <v>0.35</v>
      </c>
      <c r="AA3" s="5">
        <v>0.4</v>
      </c>
      <c r="AB3" s="5">
        <v>0.45</v>
      </c>
      <c r="AC3" s="5">
        <v>0.5</v>
      </c>
      <c r="AD3" s="5">
        <v>0.55000000000000004</v>
      </c>
      <c r="AE3" s="5">
        <v>0.6</v>
      </c>
      <c r="AF3" s="5">
        <v>0.65</v>
      </c>
      <c r="AG3" s="5">
        <v>0.7</v>
      </c>
      <c r="AH3" s="5">
        <v>0.75</v>
      </c>
      <c r="AI3" s="5">
        <v>0.8</v>
      </c>
      <c r="AJ3" s="5">
        <v>0.85</v>
      </c>
      <c r="AK3" s="5">
        <v>0.9</v>
      </c>
      <c r="AL3" s="5">
        <v>0.95</v>
      </c>
      <c r="AM3" s="5">
        <v>1</v>
      </c>
    </row>
    <row r="4" spans="1:43" s="58" customFormat="1" ht="20.149999999999999" customHeight="1" x14ac:dyDescent="0.3">
      <c r="A4" s="79"/>
      <c r="B4" s="66"/>
      <c r="C4" s="57"/>
      <c r="D4" s="339"/>
      <c r="E4" s="340"/>
      <c r="F4" s="340"/>
      <c r="G4" s="340"/>
      <c r="H4" s="340"/>
      <c r="I4" s="340"/>
      <c r="J4" s="340"/>
      <c r="K4" s="340"/>
      <c r="L4" s="340"/>
      <c r="M4" s="340"/>
      <c r="N4" s="340"/>
      <c r="O4" s="340"/>
      <c r="P4" s="341"/>
      <c r="Q4" s="653" t="s">
        <v>153</v>
      </c>
      <c r="R4" s="5">
        <v>0</v>
      </c>
      <c r="S4" s="6">
        <v>0</v>
      </c>
      <c r="T4" s="6">
        <v>0</v>
      </c>
      <c r="U4" s="6">
        <v>0</v>
      </c>
      <c r="V4" s="6">
        <v>-1</v>
      </c>
      <c r="W4" s="6">
        <v>-1</v>
      </c>
      <c r="X4" s="6">
        <v>-1</v>
      </c>
      <c r="Y4" s="6">
        <v>-1</v>
      </c>
      <c r="Z4" s="6">
        <v>-1</v>
      </c>
      <c r="AA4" s="6">
        <v>-1</v>
      </c>
      <c r="AB4" s="6">
        <v>-1</v>
      </c>
      <c r="AC4" s="6">
        <v>-1</v>
      </c>
      <c r="AD4" s="6">
        <v>-1</v>
      </c>
      <c r="AE4" s="6">
        <v>-1</v>
      </c>
      <c r="AF4" s="6">
        <v>-2</v>
      </c>
      <c r="AG4" s="6">
        <v>-2</v>
      </c>
      <c r="AH4" s="6">
        <v>-2</v>
      </c>
      <c r="AI4" s="6">
        <v>-2</v>
      </c>
      <c r="AJ4" s="6">
        <v>-2</v>
      </c>
      <c r="AK4" s="6">
        <v>-2</v>
      </c>
      <c r="AL4" s="6">
        <v>-2</v>
      </c>
      <c r="AM4" s="6">
        <v>-2</v>
      </c>
    </row>
    <row r="5" spans="1:43" s="58" customFormat="1" ht="35.15" customHeight="1" x14ac:dyDescent="0.3">
      <c r="A5" s="189" t="s">
        <v>154</v>
      </c>
      <c r="B5" s="184"/>
      <c r="C5" s="191"/>
      <c r="D5" s="357"/>
      <c r="E5" s="358"/>
      <c r="F5" s="358"/>
      <c r="G5" s="358"/>
      <c r="H5" s="358"/>
      <c r="I5" s="358"/>
      <c r="J5" s="358"/>
      <c r="K5" s="358"/>
      <c r="L5" s="358"/>
      <c r="M5" s="358"/>
      <c r="N5" s="358"/>
      <c r="O5" s="340"/>
      <c r="P5" s="341"/>
      <c r="Q5" s="653"/>
      <c r="R5" s="5">
        <v>0.05</v>
      </c>
      <c r="S5" s="6">
        <v>-1</v>
      </c>
      <c r="T5" s="6">
        <v>-1</v>
      </c>
      <c r="U5" s="6">
        <v>-1</v>
      </c>
      <c r="V5" s="6">
        <v>-1</v>
      </c>
      <c r="W5" s="6">
        <v>-1</v>
      </c>
      <c r="X5" s="6">
        <v>-1</v>
      </c>
      <c r="Y5" s="6">
        <v>-1</v>
      </c>
      <c r="Z5" s="6">
        <v>-1</v>
      </c>
      <c r="AA5" s="6">
        <v>-1</v>
      </c>
      <c r="AB5" s="6">
        <v>-1</v>
      </c>
      <c r="AC5" s="6">
        <v>-2</v>
      </c>
      <c r="AD5" s="6">
        <v>-2</v>
      </c>
      <c r="AE5" s="6">
        <v>-2</v>
      </c>
      <c r="AF5" s="6">
        <v>-2</v>
      </c>
      <c r="AG5" s="6">
        <v>-2</v>
      </c>
      <c r="AH5" s="6">
        <v>-2</v>
      </c>
      <c r="AI5" s="6">
        <v>-2</v>
      </c>
      <c r="AJ5" s="6">
        <v>-2</v>
      </c>
      <c r="AK5" s="6">
        <v>-2</v>
      </c>
      <c r="AL5" s="6">
        <v>-2</v>
      </c>
      <c r="AM5" s="6"/>
    </row>
    <row r="6" spans="1:43" s="58" customFormat="1" ht="20.149999999999999" customHeight="1" x14ac:dyDescent="0.3">
      <c r="A6" s="40"/>
      <c r="B6" s="66"/>
      <c r="C6" s="57"/>
      <c r="D6" s="339"/>
      <c r="E6" s="340"/>
      <c r="F6" s="340"/>
      <c r="G6" s="340"/>
      <c r="H6" s="340"/>
      <c r="I6" s="340"/>
      <c r="J6" s="340"/>
      <c r="K6" s="340"/>
      <c r="L6" s="340"/>
      <c r="M6" s="340"/>
      <c r="N6" s="340"/>
      <c r="O6" s="340"/>
      <c r="P6" s="341"/>
      <c r="Q6" s="653"/>
      <c r="R6" s="5">
        <v>0.1</v>
      </c>
      <c r="S6" s="6">
        <v>-1</v>
      </c>
      <c r="T6" s="6">
        <v>-1</v>
      </c>
      <c r="U6" s="6">
        <v>-1</v>
      </c>
      <c r="V6" s="6">
        <v>-1</v>
      </c>
      <c r="W6" s="6">
        <v>-1</v>
      </c>
      <c r="X6" s="6">
        <v>-1</v>
      </c>
      <c r="Y6" s="6">
        <v>-1</v>
      </c>
      <c r="Z6" s="6">
        <v>-2</v>
      </c>
      <c r="AA6" s="6">
        <v>-2</v>
      </c>
      <c r="AB6" s="6">
        <v>-2</v>
      </c>
      <c r="AC6" s="6">
        <v>-2</v>
      </c>
      <c r="AD6" s="6">
        <v>-2</v>
      </c>
      <c r="AE6" s="6">
        <v>-2</v>
      </c>
      <c r="AF6" s="6">
        <v>-2</v>
      </c>
      <c r="AG6" s="6">
        <v>-2</v>
      </c>
      <c r="AH6" s="6">
        <v>-2</v>
      </c>
      <c r="AI6" s="6">
        <v>-2</v>
      </c>
      <c r="AJ6" s="6">
        <v>-2</v>
      </c>
      <c r="AK6" s="6">
        <v>-3</v>
      </c>
      <c r="AL6" s="380"/>
      <c r="AM6" s="380"/>
      <c r="AN6" s="70"/>
      <c r="AO6" s="70"/>
      <c r="AP6" s="70"/>
      <c r="AQ6" s="70"/>
    </row>
    <row r="7" spans="1:43" s="58" customFormat="1" ht="30" customHeight="1" x14ac:dyDescent="0.3">
      <c r="A7" s="172" t="s">
        <v>155</v>
      </c>
      <c r="B7" s="266"/>
      <c r="C7" s="110"/>
      <c r="D7" s="334"/>
      <c r="E7" s="359"/>
      <c r="F7" s="340"/>
      <c r="G7" s="340"/>
      <c r="H7" s="340"/>
      <c r="I7" s="340"/>
      <c r="J7" s="340"/>
      <c r="K7" s="340"/>
      <c r="L7" s="340"/>
      <c r="M7" s="340"/>
      <c r="N7" s="340"/>
      <c r="O7" s="340"/>
      <c r="P7" s="341"/>
      <c r="Q7" s="653"/>
      <c r="R7" s="5">
        <v>0.15</v>
      </c>
      <c r="S7" s="6">
        <v>-1</v>
      </c>
      <c r="T7" s="6">
        <v>-1</v>
      </c>
      <c r="U7" s="6">
        <v>-1</v>
      </c>
      <c r="V7" s="6">
        <v>-1</v>
      </c>
      <c r="W7" s="6">
        <v>-1</v>
      </c>
      <c r="X7" s="6">
        <v>-2</v>
      </c>
      <c r="Y7" s="6">
        <v>-2</v>
      </c>
      <c r="Z7" s="6">
        <v>-2</v>
      </c>
      <c r="AA7" s="6">
        <v>-2</v>
      </c>
      <c r="AB7" s="6">
        <v>-2</v>
      </c>
      <c r="AC7" s="6">
        <v>-2</v>
      </c>
      <c r="AD7" s="6">
        <v>-2</v>
      </c>
      <c r="AE7" s="6">
        <v>-2</v>
      </c>
      <c r="AF7" s="6">
        <v>-2</v>
      </c>
      <c r="AG7" s="6">
        <v>-2</v>
      </c>
      <c r="AH7" s="6">
        <v>-3</v>
      </c>
      <c r="AI7" s="6">
        <v>-3</v>
      </c>
      <c r="AJ7" s="6">
        <v>-3</v>
      </c>
      <c r="AK7" s="6"/>
      <c r="AL7" s="380"/>
      <c r="AM7" s="380"/>
    </row>
    <row r="8" spans="1:43" ht="20.149999999999999" customHeight="1" x14ac:dyDescent="0.3">
      <c r="A8" s="91" t="s">
        <v>156</v>
      </c>
      <c r="B8" s="147" t="str">
        <f>IF('Input Sheet'!F4="","",'Input Sheet'!F4)</f>
        <v xml:space="preserve"> </v>
      </c>
      <c r="C8" s="197"/>
      <c r="F8" s="360"/>
      <c r="Q8" s="653"/>
      <c r="R8" s="5">
        <v>0.2</v>
      </c>
      <c r="S8" s="6">
        <v>-1</v>
      </c>
      <c r="T8" s="6">
        <v>-1</v>
      </c>
      <c r="U8" s="6">
        <v>-2</v>
      </c>
      <c r="V8" s="6">
        <v>-2</v>
      </c>
      <c r="W8" s="6">
        <v>-2</v>
      </c>
      <c r="X8" s="6">
        <v>-2</v>
      </c>
      <c r="Y8" s="6">
        <v>-2</v>
      </c>
      <c r="Z8" s="6">
        <v>-2</v>
      </c>
      <c r="AA8" s="6">
        <v>-2</v>
      </c>
      <c r="AB8" s="6">
        <v>-2</v>
      </c>
      <c r="AC8" s="6">
        <v>-2</v>
      </c>
      <c r="AD8" s="6">
        <v>-2</v>
      </c>
      <c r="AE8" s="6">
        <v>-3</v>
      </c>
      <c r="AF8" s="6">
        <v>-3</v>
      </c>
      <c r="AG8" s="6">
        <v>-3</v>
      </c>
      <c r="AH8" s="6">
        <v>-3</v>
      </c>
      <c r="AI8" s="6">
        <v>-3</v>
      </c>
      <c r="AJ8" s="380"/>
      <c r="AK8" s="380"/>
      <c r="AL8" s="380"/>
      <c r="AM8" s="380"/>
    </row>
    <row r="9" spans="1:43" ht="20.149999999999999" customHeight="1" x14ac:dyDescent="0.3">
      <c r="A9" s="76" t="s">
        <v>157</v>
      </c>
      <c r="B9" s="241">
        <f>IF('Input Sheet'!F7="","",'Input Sheet'!F7)</f>
        <v>0.1</v>
      </c>
      <c r="C9" s="197"/>
      <c r="F9" s="360"/>
      <c r="Q9" s="653"/>
      <c r="R9" s="5">
        <v>0.25</v>
      </c>
      <c r="S9" s="6">
        <v>-2</v>
      </c>
      <c r="T9" s="6">
        <v>-2</v>
      </c>
      <c r="U9" s="6">
        <v>-2</v>
      </c>
      <c r="V9" s="6">
        <v>-2</v>
      </c>
      <c r="W9" s="6">
        <v>-2</v>
      </c>
      <c r="X9" s="6">
        <v>-2</v>
      </c>
      <c r="Y9" s="6">
        <v>-2</v>
      </c>
      <c r="Z9" s="6">
        <v>-2</v>
      </c>
      <c r="AA9" s="6">
        <v>-2</v>
      </c>
      <c r="AB9" s="6">
        <v>-3</v>
      </c>
      <c r="AC9" s="6">
        <v>-3</v>
      </c>
      <c r="AD9" s="6">
        <v>-3</v>
      </c>
      <c r="AE9" s="6">
        <v>-3</v>
      </c>
      <c r="AF9" s="6">
        <v>-3</v>
      </c>
      <c r="AG9" s="6">
        <v>-3</v>
      </c>
      <c r="AH9" s="6">
        <v>-3</v>
      </c>
      <c r="AI9" s="6"/>
      <c r="AJ9" s="380"/>
      <c r="AK9" s="380"/>
      <c r="AL9" s="380"/>
      <c r="AM9" s="380"/>
    </row>
    <row r="10" spans="1:43" ht="20.149999999999999" customHeight="1" x14ac:dyDescent="0.3">
      <c r="A10" s="149" t="s">
        <v>102</v>
      </c>
      <c r="B10" s="242" t="str">
        <f>IFERROR(IF(B8="","",B8-B9),"")</f>
        <v/>
      </c>
      <c r="C10" s="196"/>
      <c r="F10" s="360"/>
      <c r="Q10" s="653"/>
      <c r="R10" s="5">
        <v>0.3</v>
      </c>
      <c r="S10" s="6">
        <v>-2</v>
      </c>
      <c r="T10" s="6">
        <v>-2</v>
      </c>
      <c r="U10" s="6">
        <v>-2</v>
      </c>
      <c r="V10" s="6">
        <v>-2</v>
      </c>
      <c r="W10" s="6">
        <v>-2</v>
      </c>
      <c r="X10" s="6">
        <v>-2</v>
      </c>
      <c r="Y10" s="6">
        <v>-3</v>
      </c>
      <c r="Z10" s="6">
        <v>-3</v>
      </c>
      <c r="AA10" s="6">
        <v>-3</v>
      </c>
      <c r="AB10" s="6">
        <v>-3</v>
      </c>
      <c r="AC10" s="6">
        <v>-3</v>
      </c>
      <c r="AD10" s="6">
        <v>-3</v>
      </c>
      <c r="AE10" s="6">
        <v>-3</v>
      </c>
      <c r="AF10" s="6">
        <v>-3</v>
      </c>
      <c r="AG10" s="6">
        <v>-3</v>
      </c>
      <c r="AH10" s="380"/>
      <c r="AI10" s="380"/>
      <c r="AJ10" s="380"/>
      <c r="AK10" s="380"/>
      <c r="AL10" s="380"/>
      <c r="AM10" s="380"/>
    </row>
    <row r="11" spans="1:43" ht="20.149999999999999" customHeight="1" x14ac:dyDescent="0.3">
      <c r="A11" s="79"/>
      <c r="B11" s="195"/>
      <c r="C11" s="196"/>
      <c r="D11" s="334"/>
      <c r="E11" s="361"/>
      <c r="F11" s="360"/>
      <c r="Q11" s="653"/>
      <c r="R11" s="5">
        <v>0.35</v>
      </c>
      <c r="S11" s="6">
        <v>-2</v>
      </c>
      <c r="T11" s="6">
        <v>-2</v>
      </c>
      <c r="U11" s="6">
        <v>-2</v>
      </c>
      <c r="V11" s="6">
        <v>-2</v>
      </c>
      <c r="W11" s="6">
        <v>-3</v>
      </c>
      <c r="X11" s="6">
        <v>-3</v>
      </c>
      <c r="Y11" s="6">
        <v>-3</v>
      </c>
      <c r="Z11" s="6">
        <v>-3</v>
      </c>
      <c r="AA11" s="6">
        <v>-3</v>
      </c>
      <c r="AB11" s="6">
        <v>-3</v>
      </c>
      <c r="AC11" s="6">
        <v>-3</v>
      </c>
      <c r="AD11" s="6">
        <v>-3</v>
      </c>
      <c r="AE11" s="6">
        <v>-3</v>
      </c>
      <c r="AF11" s="6">
        <v>-3</v>
      </c>
      <c r="AG11" s="6"/>
      <c r="AH11" s="380"/>
      <c r="AI11" s="380"/>
      <c r="AJ11" s="380"/>
      <c r="AK11" s="380"/>
      <c r="AL11" s="380"/>
      <c r="AM11" s="380"/>
    </row>
    <row r="12" spans="1:43" s="58" customFormat="1" ht="20.149999999999999" customHeight="1" x14ac:dyDescent="0.3">
      <c r="A12" s="91" t="s">
        <v>158</v>
      </c>
      <c r="B12" s="147" t="str">
        <f>IF('Input Sheet'!F5="","",'Input Sheet'!F5)</f>
        <v/>
      </c>
      <c r="C12" s="196"/>
      <c r="D12" s="334"/>
      <c r="E12" s="361"/>
      <c r="F12" s="360"/>
      <c r="G12" s="340"/>
      <c r="H12" s="340"/>
      <c r="I12" s="340"/>
      <c r="J12" s="340"/>
      <c r="K12" s="340"/>
      <c r="L12" s="340"/>
      <c r="M12" s="340"/>
      <c r="N12" s="340"/>
      <c r="O12" s="340"/>
      <c r="P12" s="341"/>
      <c r="Q12" s="653"/>
      <c r="R12" s="5">
        <v>0.4</v>
      </c>
      <c r="S12" s="6">
        <v>-2</v>
      </c>
      <c r="T12" s="6">
        <v>-3</v>
      </c>
      <c r="U12" s="6">
        <v>-3</v>
      </c>
      <c r="V12" s="6">
        <v>-3</v>
      </c>
      <c r="W12" s="6">
        <v>-3</v>
      </c>
      <c r="X12" s="6">
        <v>-3</v>
      </c>
      <c r="Y12" s="6">
        <v>-3</v>
      </c>
      <c r="Z12" s="6">
        <v>-3</v>
      </c>
      <c r="AA12" s="6">
        <v>-3</v>
      </c>
      <c r="AB12" s="6">
        <v>-3</v>
      </c>
      <c r="AC12" s="6">
        <v>-3</v>
      </c>
      <c r="AD12" s="6">
        <v>-4</v>
      </c>
      <c r="AE12" s="6">
        <v>-4</v>
      </c>
      <c r="AF12" s="380"/>
      <c r="AG12" s="380"/>
      <c r="AH12" s="380"/>
      <c r="AI12" s="380"/>
      <c r="AJ12" s="382"/>
      <c r="AK12" s="382"/>
      <c r="AL12" s="382"/>
      <c r="AM12" s="382"/>
    </row>
    <row r="13" spans="1:43" s="58" customFormat="1" ht="20.149999999999999" customHeight="1" x14ac:dyDescent="0.3">
      <c r="A13" s="76" t="s">
        <v>27</v>
      </c>
      <c r="B13" s="241">
        <f>IF('Input Sheet'!F8="","",'Input Sheet'!F8)</f>
        <v>0.05</v>
      </c>
      <c r="C13" s="196"/>
      <c r="D13" s="334"/>
      <c r="E13" s="361"/>
      <c r="F13" s="360"/>
      <c r="G13" s="340"/>
      <c r="H13" s="340"/>
      <c r="I13" s="340"/>
      <c r="J13" s="340"/>
      <c r="K13" s="340"/>
      <c r="L13" s="340"/>
      <c r="M13" s="340"/>
      <c r="N13" s="340"/>
      <c r="O13" s="340"/>
      <c r="P13" s="341"/>
      <c r="Q13" s="653"/>
      <c r="R13" s="5">
        <v>0.45</v>
      </c>
      <c r="S13" s="6">
        <v>-3</v>
      </c>
      <c r="T13" s="6">
        <v>-3</v>
      </c>
      <c r="U13" s="6">
        <v>-3</v>
      </c>
      <c r="V13" s="6">
        <v>-3</v>
      </c>
      <c r="W13" s="6">
        <v>-3</v>
      </c>
      <c r="X13" s="6">
        <v>-3</v>
      </c>
      <c r="Y13" s="6">
        <v>-3</v>
      </c>
      <c r="Z13" s="6">
        <v>-3</v>
      </c>
      <c r="AA13" s="6">
        <v>-4</v>
      </c>
      <c r="AB13" s="6">
        <v>-4</v>
      </c>
      <c r="AC13" s="6">
        <v>-4</v>
      </c>
      <c r="AD13" s="6">
        <v>-4</v>
      </c>
      <c r="AE13" s="6"/>
      <c r="AF13" s="380"/>
      <c r="AG13" s="380"/>
      <c r="AH13" s="380"/>
      <c r="AI13" s="380"/>
      <c r="AJ13" s="380"/>
      <c r="AK13" s="380"/>
      <c r="AL13" s="380"/>
      <c r="AM13" s="380"/>
    </row>
    <row r="14" spans="1:43" s="58" customFormat="1" ht="20.149999999999999" customHeight="1" x14ac:dyDescent="0.3">
      <c r="A14" s="149" t="s">
        <v>102</v>
      </c>
      <c r="B14" s="242" t="str">
        <f>IFERROR(IF(B12="","",B12-B13),"")</f>
        <v/>
      </c>
      <c r="C14" s="196"/>
      <c r="D14" s="334"/>
      <c r="E14" s="361"/>
      <c r="F14" s="360"/>
      <c r="G14" s="340"/>
      <c r="H14" s="340"/>
      <c r="I14" s="340"/>
      <c r="J14" s="340"/>
      <c r="K14" s="340"/>
      <c r="L14" s="340"/>
      <c r="M14" s="340"/>
      <c r="N14" s="340"/>
      <c r="O14" s="340"/>
      <c r="P14" s="341"/>
      <c r="Q14" s="653"/>
      <c r="R14" s="5">
        <v>0.5</v>
      </c>
      <c r="S14" s="6">
        <v>-3</v>
      </c>
      <c r="T14" s="6">
        <v>-3</v>
      </c>
      <c r="U14" s="6">
        <v>-3</v>
      </c>
      <c r="V14" s="6">
        <v>-3</v>
      </c>
      <c r="W14" s="6">
        <v>-3</v>
      </c>
      <c r="X14" s="6">
        <v>-4</v>
      </c>
      <c r="Y14" s="6">
        <v>-4</v>
      </c>
      <c r="Z14" s="6">
        <v>-4</v>
      </c>
      <c r="AA14" s="6">
        <v>-4</v>
      </c>
      <c r="AB14" s="6">
        <v>-4</v>
      </c>
      <c r="AC14" s="6">
        <v>-4</v>
      </c>
      <c r="AD14" s="380"/>
      <c r="AE14" s="380"/>
      <c r="AF14" s="380"/>
      <c r="AG14" s="380"/>
      <c r="AH14" s="380"/>
      <c r="AI14" s="380"/>
      <c r="AJ14" s="380"/>
      <c r="AK14" s="380"/>
      <c r="AL14" s="380"/>
      <c r="AM14" s="380"/>
    </row>
    <row r="15" spans="1:43" s="58" customFormat="1" ht="20.149999999999999" customHeight="1" x14ac:dyDescent="0.3">
      <c r="A15" s="40"/>
      <c r="B15" s="66"/>
      <c r="C15" s="57"/>
      <c r="D15" s="339"/>
      <c r="E15" s="340"/>
      <c r="F15" s="340"/>
      <c r="G15" s="340"/>
      <c r="H15" s="340"/>
      <c r="I15" s="340"/>
      <c r="J15" s="340"/>
      <c r="K15" s="340"/>
      <c r="L15" s="340"/>
      <c r="M15" s="340"/>
      <c r="N15" s="340"/>
      <c r="O15" s="340"/>
      <c r="P15" s="341"/>
      <c r="Q15" s="653"/>
      <c r="R15" s="5">
        <v>0.55000000000000004</v>
      </c>
      <c r="S15" s="6">
        <v>-3</v>
      </c>
      <c r="T15" s="6">
        <v>-3</v>
      </c>
      <c r="U15" s="6">
        <v>-3</v>
      </c>
      <c r="V15" s="6">
        <v>-4</v>
      </c>
      <c r="W15" s="6">
        <v>-4</v>
      </c>
      <c r="X15" s="6">
        <v>-4</v>
      </c>
      <c r="Y15" s="6">
        <v>-4</v>
      </c>
      <c r="Z15" s="6">
        <v>-4</v>
      </c>
      <c r="AA15" s="6">
        <v>-4</v>
      </c>
      <c r="AB15" s="6">
        <v>-4</v>
      </c>
      <c r="AC15" s="6"/>
      <c r="AD15" s="380"/>
      <c r="AE15" s="380"/>
      <c r="AF15" s="380"/>
      <c r="AG15" s="380"/>
      <c r="AH15" s="380"/>
      <c r="AI15" s="380"/>
      <c r="AJ15" s="380"/>
      <c r="AK15" s="380"/>
      <c r="AL15" s="380"/>
      <c r="AM15" s="380"/>
    </row>
    <row r="16" spans="1:43" s="58" customFormat="1" ht="35.15" customHeight="1" x14ac:dyDescent="0.3">
      <c r="A16" s="189" t="s">
        <v>159</v>
      </c>
      <c r="B16" s="183"/>
      <c r="C16" s="192"/>
      <c r="D16" s="362"/>
      <c r="E16" s="363"/>
      <c r="F16" s="363"/>
      <c r="G16" s="363"/>
      <c r="H16" s="363"/>
      <c r="I16" s="363"/>
      <c r="J16" s="363"/>
      <c r="K16" s="363"/>
      <c r="L16" s="363"/>
      <c r="M16" s="363"/>
      <c r="N16" s="363"/>
      <c r="O16" s="340"/>
      <c r="P16" s="341"/>
      <c r="Q16" s="653"/>
      <c r="R16" s="5">
        <v>0.6</v>
      </c>
      <c r="S16" s="6">
        <v>-4</v>
      </c>
      <c r="T16" s="6">
        <v>-4</v>
      </c>
      <c r="U16" s="6">
        <v>-4</v>
      </c>
      <c r="V16" s="6">
        <v>-4</v>
      </c>
      <c r="W16" s="6">
        <v>-4</v>
      </c>
      <c r="X16" s="6">
        <v>-4</v>
      </c>
      <c r="Y16" s="6">
        <v>-4</v>
      </c>
      <c r="Z16" s="6">
        <v>-4</v>
      </c>
      <c r="AA16" s="6">
        <v>-4</v>
      </c>
      <c r="AB16" s="380"/>
      <c r="AC16" s="380"/>
      <c r="AD16" s="380"/>
      <c r="AE16" s="380"/>
      <c r="AF16" s="380"/>
      <c r="AG16" s="380"/>
      <c r="AH16" s="380"/>
      <c r="AI16" s="380"/>
      <c r="AJ16" s="380"/>
      <c r="AK16" s="380"/>
      <c r="AL16" s="380"/>
      <c r="AM16" s="380"/>
    </row>
    <row r="17" spans="1:39" s="58" customFormat="1" ht="20.149999999999999" customHeight="1" x14ac:dyDescent="0.3">
      <c r="A17" s="40"/>
      <c r="B17" s="66"/>
      <c r="C17" s="57"/>
      <c r="D17" s="339"/>
      <c r="E17" s="340"/>
      <c r="F17" s="340"/>
      <c r="G17" s="340"/>
      <c r="H17" s="340"/>
      <c r="I17" s="340"/>
      <c r="J17" s="340"/>
      <c r="K17" s="340"/>
      <c r="L17" s="340"/>
      <c r="M17" s="340"/>
      <c r="N17" s="340"/>
      <c r="O17" s="340"/>
      <c r="P17" s="341"/>
      <c r="Q17" s="653"/>
      <c r="R17" s="5">
        <v>0.65</v>
      </c>
      <c r="S17" s="6">
        <v>-4</v>
      </c>
      <c r="T17" s="6">
        <v>-4</v>
      </c>
      <c r="U17" s="6">
        <v>-4</v>
      </c>
      <c r="V17" s="6">
        <v>-4</v>
      </c>
      <c r="W17" s="6">
        <v>-4</v>
      </c>
      <c r="X17" s="6">
        <v>-4</v>
      </c>
      <c r="Y17" s="6">
        <v>-4</v>
      </c>
      <c r="Z17" s="6">
        <v>-5</v>
      </c>
      <c r="AA17" s="6"/>
      <c r="AB17" s="380"/>
      <c r="AC17" s="380"/>
      <c r="AD17" s="380"/>
      <c r="AE17" s="380"/>
      <c r="AF17" s="381"/>
      <c r="AG17" s="381"/>
      <c r="AH17" s="381"/>
      <c r="AI17" s="381"/>
      <c r="AJ17" s="381"/>
      <c r="AK17" s="381"/>
      <c r="AL17" s="380"/>
      <c r="AM17" s="380"/>
    </row>
    <row r="18" spans="1:39" s="58" customFormat="1" ht="30" customHeight="1" x14ac:dyDescent="0.3">
      <c r="A18" s="172" t="s">
        <v>160</v>
      </c>
      <c r="B18" s="267"/>
      <c r="C18" s="57"/>
      <c r="D18" s="339"/>
      <c r="E18" s="340"/>
      <c r="F18" s="340"/>
      <c r="G18" s="340"/>
      <c r="H18" s="340"/>
      <c r="I18" s="340"/>
      <c r="J18" s="340"/>
      <c r="K18" s="340"/>
      <c r="L18" s="340"/>
      <c r="M18" s="340"/>
      <c r="N18" s="340"/>
      <c r="O18" s="340"/>
      <c r="P18" s="341"/>
      <c r="Q18" s="653"/>
      <c r="R18" s="5">
        <v>0.7</v>
      </c>
      <c r="S18" s="6">
        <v>-4</v>
      </c>
      <c r="T18" s="6">
        <v>-4</v>
      </c>
      <c r="U18" s="6">
        <v>-4</v>
      </c>
      <c r="V18" s="6">
        <v>-4</v>
      </c>
      <c r="W18" s="6">
        <v>-5</v>
      </c>
      <c r="X18" s="6">
        <v>-5</v>
      </c>
      <c r="Y18" s="6">
        <v>-5</v>
      </c>
      <c r="Z18" s="380"/>
      <c r="AA18" s="380"/>
      <c r="AB18" s="380"/>
      <c r="AC18" s="380"/>
      <c r="AD18" s="380"/>
      <c r="AE18" s="380"/>
      <c r="AF18" s="380"/>
      <c r="AG18" s="380"/>
      <c r="AH18" s="380"/>
      <c r="AI18" s="380"/>
      <c r="AJ18" s="380"/>
      <c r="AK18" s="380"/>
      <c r="AL18" s="380"/>
      <c r="AM18" s="380"/>
    </row>
    <row r="19" spans="1:39" s="58" customFormat="1" ht="20.149999999999999" customHeight="1" x14ac:dyDescent="0.3">
      <c r="A19" s="91" t="s">
        <v>161</v>
      </c>
      <c r="B19" s="238" t="str">
        <f>IF($B$8&gt;$R$4,(IF($B$8&gt;$R$5,(IF($B$8&gt;$R$6,(IF($B$8&gt;$R$7,(IF($B$8&gt;$R$8,(IF($B$8&gt;$R$9,(IF($B$8&gt;$R$10,(IF($B$8&gt;$R$11,(IF($B$8&gt;$R$12,(IF($B$8&gt;$R$13,(IF($B$8&gt;$R$14,(IF($B$8&gt;$R$15,(IF($B$8&gt;$R$16,(IF($B$8&gt;$R$17,(IF($B$8&gt;$R$18,(IF($B$8&gt;$R$19,(IF($B$8&gt;$R$20,(IF($B$8&gt;$R$21,(IF($B$8&gt;$R$22,(IF($B$8&gt;$R$23,(IF($B$8&gt;$Q$24,"BIGGER",(IF(B$12&gt;$S$3,"SMALLER",S24)))),(IF(B$12&gt;$S$3,(IF(B$12&gt;$T$3,"SMALLER",T23)),S23)))),(IF(B$12&gt;$S$3,(IF(B$12&gt;$T$3,(IF(B$12&gt;$U$3,"SMALLER",U22)),T22)),S22)))),(IF(B$12&gt;$S$3,(IF(B$12&gt;$T$3,(IF(B$12&gt;$U$3,(IF(B$12&gt;$V$3,"SMALLER",V21)),U21)),T21)),S21)))),(IF(B$12&gt;$S$3,(IF(B$12&gt;$T$3,(IF(B$12&gt;$U$3,(IF(B$12&gt;$V$3,(IF(B$12&gt;$W$3,"SMALLER",W20)),V20)),U20)),T20)),S20)))),(IF(B$12&gt;$S$3,(IF(B$12&gt;$T$3,(IF(B$12&gt;$U$3,(IF(B$12&gt;$V$3,(IF(B$12&gt;$W$3,(IF(B$12&gt;$X$3,"SMALLER",X19)),W19)),V19)),U19)),T19)),S19)))),(IF(B$12&gt;$S$3,(IF(B$12&gt;$T$3,(IF(B$12&gt;$U$3,(IF(B$12&gt;$V$3,(IF(B$12&gt;$W$3,(IF(B$12&gt;$X$3,(IF(B$12&gt;$Y$3,"SMALLER",Y18)),X18)),W18)),V18)),U18)),T18)),S18)))),(IF(B$12&gt;$S$3,(IF(B$12&gt;$T$3,(IF(B$12&gt;$U$3,(IF(B$12&gt;$V$3,(IF(B$12&gt;$W$3,(IF(B$12&gt;$X$3,(IF(B$12&gt;$Y$3,(IF(B$12&gt;$Z$3,"SMALLER",Z17)),Y17)),X17)),W17)),V17)),U17)),T17)),S17)))),(IF(B$12&gt;$S$3,(IF(B$12&gt;$T$3,(IF(B$12&gt;$U$3,(IF(B$12&gt;$V$3,(IF(B$12&gt;$W$3,(IF(B$12&gt;$X$3,(IF(B$12&gt;$Y$3,(IF(B$12&gt;$Z$3,(IF(B$12&gt;$AA$3,"SMALLER",AA16)),Z16)),Y16)),X16)),W16)),V16)),U16)),T16)),S16)))),(IF(B$12&gt;$S$3,(IF(B$12&gt;$T$3,(IF(B$12&gt;$U$3,(IF(B$12&gt;$V$3,(IF(B$12&gt;$W$3,(IF(B$12&gt;$X$3,(IF(B$12&gt;$Y$3,(IF(B$12&gt;$Z$3,(IF(B$12&gt;$AA$3,(IF(B$12&gt;$AB$3,"SMALLER",AB15)),AA15)),Z15)),Y15)),X15)),W15)),V15)),U15)),T15)),S15)))),(IF(B$12&gt;$S$3,(IF(B$12&gt;$T$3,(IF(B$12&gt;$U$3,(IF(B$12&gt;$V$3,(IF(B$12&gt;$W$3,(IF(B$12&gt;$X$3,(IF(B$12&gt;$Y$3,(IF(B$12&gt;$Z$3,(IF(B$12&gt;$AA$3,(IF(B$12&gt;$AB$3,(IF(B$12&gt;$AC$3,"SMALLER",AC14)),AB14)),AA14)),Z14)),Y14)),X14)),W14)),V14)),U14)),T14)),S14)))),(IF(B$12&gt;$S$3,(IF(B$12&gt;$T$3,(IF(B$12&gt;$U$3,(IF(B$12&gt;$V$3,(IF(B$12&gt;$W$3,(IF(B$12&gt;$X$3,(IF(B$12&gt;$Y$3,(IF(B$12&gt;$Z$3,(IF(B$12&gt;$AA$3,(IF(B$12&gt;$AB$3,(IF(B$12&gt;$AC$3,(IF(B$12&gt;$AD$3,"SMALLER",AD13)),AC13)),AB13)),AA13)),Z13)),Y13)),X13)),W13)),V13)),U13)),T13)),S13)))),(IF(B$12&gt;$S$3,(IF(B$12&gt;$T$3,(IF(B$12&gt;$U$3,(IF(B$12&gt;$V$3,(IF(B$12&gt;$W$3,(IF(B$12&gt;$X$3,(IF(B$12&gt;$Y$3,(IF(B$12&gt;$Z$3,(IF(B$12&gt;$AA$3,(IF(B$12&gt;$AB$3,(IF(B$12&gt;$AC$3,(IF(B$12&gt;$AD$3,(IF(B$12&gt;$AE$3,"SMALLER",AE12)),AD12)),AC12)),AB12)),AA12)),Z12)),Y12)),X12)),W12)),V12)),U12)),T12)),S12)))),(IF(B$12&gt;$S$3,(IF(B$12&gt;$T$3,(IF(B$12&gt;$U$3,(IF(B$12&gt;$V$3,(IF(B$12&gt;$W$3,(IF(B$12&gt;$X$3,(IF(B$12&gt;$Y$3,(IF(B$12&gt;$Z$3,(IF(B$12&gt;$AA$3,(IF(B$12&gt;$AB$3,(IF(B$12&gt;$AC$3,(IF(B$12&gt;$AD$3,(IF(B$12&gt;$AE$3,(IF(B$12&gt;$AF$3,"SMALLER",AF11)),AE11)),AD11)),AC11)),AB11)),AA11)),Z11)),Y11)),X11)),W11)),V11)),U11)),T11)),S11)))),(IF(B$12&gt;$S$3,(IF(B$12&gt;$T$3,(IF(B$12&gt;$U$3,(IF(B$12&gt;$V$3,(IF(B$12&gt;$W$3,(IF(B$12&gt;$X$3,(IF(B$12&gt;$Y$3,(IF(B$12&gt;$Z$3,(IF(B$12&gt;$AA$3,(IF(B$12&gt;$AB$3,(IF(B$12&gt;$AC$3,(IF(B$12&gt;$AD$3,(IF(B$12&gt;$AE$3,(IF(B$12&gt;$AF$3,(IF(B$12&gt;$AG$3,"SMALLER",AG10)),AF10)),AE10)),AD10)),AC10)),AB10)),AA10)),Z10)),Y10)),X10)),W10)),V10)),U10)),T10)),S10)))),(IF(B$12&gt;$S$3,(IF(B$12&gt;$T$3,(IF(B$12&gt;$U$3,(IF(B$12&gt;$V$3,(IF(B$12&gt;$W$3,(IF(B$12&gt;$X$3,(IF(B$12&gt;$Y$3,(IF(B$12&gt;$Z$3,(IF(B$12&gt;$AA$3,(IF(B$12&gt;$AB$3,(IF(B$12&gt;$AC$3,(IF(B$12&gt;$AD$3,(IF(B$12&gt;$AE$3,(IF(B$12&gt;$AF$3,(IF(B$12&gt;$AG$3,(IF(B$12&gt;$AH$3,"SMALLER",AH9)),AG9)),AF9)),AE9)),AD9)),AC9)),AB9)),AA9)),Z9)),Y9)),X9)),W9)),V9)),U9)),T9)),S9)))),(IF(B$12&gt;$S$3,(IF(B$12&gt;$T$3,(IF(B$12&gt;$U$3,(IF(B$12&gt;$V$3,(IF(B$12&gt;$W$3,(IF(B$12&gt;$X$3,(IF(B$12&gt;$Y$3,(IF(B$12&gt;$Z$3,(IF(B$12&gt;$AA$3,(IF(B$12&gt;$AB$3,(IF(B$12&gt;$AC$3,(IF(B$12&gt;$AD$3,(IF(B$12&gt;$AE$3,(IF(B$12&gt;$AF$3,(IF(B$12&gt;$AG$3,(IF(B$12&gt;$AH$3,(IF(B$12&gt;$AI$3,"SMALLER",AI8)),AH8)),AG8)),AF8)),AE8)),AD8)),AC8)),AB8)),AA8)),Z8)),Y8)),X8)),W8)),V8)),U8)),T8)),S8)))),(IF(B$12&gt;$S$3,(IF(B$12&gt;$T$3,(IF(B$12&gt;$U$3,(IF(B$12&gt;$V$3,(IF(B$12&gt;$W$3,(IF(B$12&gt;$X$3,(IF(B$12&gt;$Y$3,(IF(B$12&gt;$Z$3,(IF(B$12&gt;$AA$3,(IF(B$12&gt;$AB$3,(IF(B$12&gt;$AC$3,(IF(B$12&gt;$AD$3,(IF(B$12&gt;$AE$3,(IF(B$12&gt;$AF$3,(IF(B$12&gt;$AG$3,(IF(B$12&gt;$AH$3,(IF(B$12&gt;$AI$3,(IF(B$12&gt;$AJ$3,"SMALLER",AJ7)),AI7)),AH7)),AG7)),AF7)),AE7)),AD7)),AC7)),AB7)),AA7)),Z7)),Y7)),X7)),W7)),V7)),U7)),T7)),S7)))),(IF(B$12&gt;$S$3,(IF(B$12&gt;$T$3,(IF(B$12&gt;$U$3,(IF(B$12&gt;$V$3,(IF(B$12&gt;$W$3,(IF(B$12&gt;$X$3,(IF(B$12&gt;$Y$3,(IF(B$12&gt;$Z$3,(IF(B$12&gt;$AA$3,(IF(B$12&gt;$AB$3,(IF(B$12&gt;$AC$3,(IF(B$12&gt;$AD$3,(IF(B$12&gt;$AE$3,(IF(B$12&gt;$AF$3,(IF(B$12&gt;$AG$3,(IF(B$12&gt;$AH$3,(IF(B$12&gt;$AI$3,(IF(B$12&gt;$AJ$3,(IF(B$12&gt;$AK$3,AK6,"SMALLER")),AJ6)),AI6)),AH6)),AG6)),AF6)),AE6)),AD6)),AC6)),AB6)),AA6)),Z6)),Y6)),X6)),W6)),V6)),U6)),T6)),S6)))),(IF(B$12&gt;$S$3,(IF(B$12&gt;$T$3,(IF(B$12&gt;$U$3,(IF(B$12&gt;$V$3,(IF(B$12&gt;$W$3,(IF(B$12&gt;$X$3,(IF(B$12&gt;$Y$3,(IF(B$12&gt;$Z$3,(IF(B$12&gt;$AA$3,(IF(B$12&gt;$AB$3,(IF(B$12&gt;$AC$3,(IF(B$12&gt;$AD$3,(IF(B$12&gt;$AE$3,(IF(B$12&gt;$AF$3,(IF(B$12&gt;$AG$3,(IF(B$12&gt;$AH$3,(IF(B$12&gt;$AI$3,(IF(B$12&gt;$AJ$3,(IF(B$12&gt;$AK$3,(IF(B$12&gt;$AL$3,AL5,"SMALLER")),AK5)),AJ5)),AI5)),AH5)),AG5)),AF5)),AE5)),AD5)),AC5)),AB5)),AA5)),Z5)),Y5)),X5)),W5)),V5)),U5)),T5)),S5)))),(IF(B$12&gt;$S$3,(IF(B$12&gt;$T$3,(IF(B$12&gt;$U$3,(IF(B$12&gt;$V$3,(IF(B$12&gt;$W$3,(IF(B$12&gt;$X$3,(IF(B$12&gt;$Y$3,(IF(B$12&gt;$Z$3,(IF(B$12&gt;$AA$3,(IF(B$12&gt;$AB$3,(IF(B$12&gt;$AC$3,(IF(B$12&gt;$AD$3,(IF(B$12&gt;$AE$3,(IF(B$12&gt;$AF$3,(IF(B$12&gt;$AG$3,(IF(B$12&gt;$AH$3,(IF(B$12&gt;$AI$3,(IF(B$12&gt;$AJ$3,(IF(B$12&gt;$AK$3,(IF(B$12&gt;$AL$3,(IF(B$12&gt;$AM$3,"NA",AM4)),AL4)),AK4)),AJ4)),AI4)),AH4)),AG4)),AF4)),AE4)),AD4)),AC4)),AB4)),AA4)),Z4)),Y4)),X4)),W4)),V4)),U4)),T4)),S4)))</f>
        <v>BIGGER</v>
      </c>
      <c r="C19" s="110"/>
      <c r="D19" s="334"/>
      <c r="E19" s="359"/>
      <c r="F19" s="359"/>
      <c r="G19" s="340"/>
      <c r="H19" s="340"/>
      <c r="I19" s="340"/>
      <c r="J19" s="340"/>
      <c r="K19" s="340"/>
      <c r="L19" s="340"/>
      <c r="M19" s="340"/>
      <c r="N19" s="340"/>
      <c r="O19" s="340"/>
      <c r="P19" s="341"/>
      <c r="Q19" s="653"/>
      <c r="R19" s="5">
        <v>0.75</v>
      </c>
      <c r="S19" s="6">
        <v>-4</v>
      </c>
      <c r="T19" s="6">
        <v>-4</v>
      </c>
      <c r="U19" s="6">
        <v>-5</v>
      </c>
      <c r="V19" s="6">
        <v>-5</v>
      </c>
      <c r="W19" s="6">
        <v>-5</v>
      </c>
      <c r="X19" s="6">
        <v>-5</v>
      </c>
      <c r="Y19" s="6"/>
      <c r="Z19" s="380"/>
      <c r="AA19" s="380"/>
      <c r="AB19" s="380"/>
      <c r="AC19" s="380"/>
      <c r="AD19" s="380"/>
      <c r="AE19" s="380"/>
      <c r="AF19" s="380"/>
      <c r="AG19" s="380"/>
      <c r="AH19" s="380"/>
      <c r="AI19" s="380"/>
      <c r="AJ19" s="380"/>
      <c r="AK19" s="380"/>
      <c r="AL19" s="380"/>
      <c r="AM19" s="380"/>
    </row>
    <row r="20" spans="1:39" s="58" customFormat="1" ht="20.149999999999999" customHeight="1" x14ac:dyDescent="0.3">
      <c r="A20" s="76" t="s">
        <v>162</v>
      </c>
      <c r="B20" s="239">
        <f>IF(B$9&gt;$R$4,(IF(B$9&gt;$R$5,(IF(B$9&gt;$R$6,(IF(B$9&gt;$R$7,(IF(B$9&gt;$R$8,(IF(B$9&gt;$R$9,(IF(B$9&gt;$R$10,(IF(B$9&gt;$R$11,(IF(B$9&gt;$R$12,(IF(B$9&gt;$R$13,(IF(B$9&gt;$R$14,(IF(B$9&gt;$R$15,(IF(B$9&gt;$R$16,(IF(B$9&gt;$R$17,(IF(B$9&gt;$R$18,(IF(B$9&gt;$R$19,(IF(B$9&gt;$R$20,(IF(B$9&gt;$R$21,(IF(B$9&gt;$R$22,(IF(B$9&gt;$R$23,(IF(B$9&gt;$Q$24,"BIGGER",(IF(B$13&gt;$S$3,"SMALLER",S24)))),(IF(B$13&gt;$S$3,(IF(B$13&gt;$T$3,"SMALLER",T23)),S23)))),(IF(B$13&gt;$S$3,(IF(B$13&gt;$T$3,(IF(B$13&gt;$U$3,"SMALLER",U22)),T22)),S22)))),(IF(B$13&gt;$S$3,(IF(B$13&gt;$T$3,(IF(B$13&gt;$U$3,(IF(B$13&gt;$V$3,"SMALLER",V21)),U21)),T21)),S21)))),(IF(B$13&gt;$S$3,(IF(B$13&gt;$T$3,(IF(B$13&gt;$U$3,(IF(B$13&gt;$V$3,(IF(B$13&gt;$W$3,"SMALLER",W20)),V20)),U20)),T20)),S20)))),(IF(B$13&gt;$S$3,(IF(B$13&gt;$T$3,(IF(B$13&gt;$U$3,(IF(B$13&gt;$V$3,(IF(B$13&gt;$W$3,(IF(B$13&gt;$X$3,"SMALLER",X19)),W19)),V19)),U19)),T19)),S19)))),(IF(B$13&gt;$S$3,(IF(B$13&gt;$T$3,(IF(B$13&gt;$U$3,(IF(B$13&gt;$V$3,(IF(B$13&gt;$W$3,(IF(B$13&gt;$X$3,(IF(B$13&gt;$Y$3,"SMALLER",Y18)),X18)),W18)),V18)),U18)),T18)),S18)))),(IF(B$13&gt;$S$3,(IF(B$13&gt;$T$3,(IF(B$13&gt;$U$3,(IF(B$13&gt;$V$3,(IF(B$13&gt;$W$3,(IF(B$13&gt;$X$3,(IF(B$13&gt;$Y$3,(IF(B$13&gt;$Z$3,"SMALLER",Z17)),Y17)),X17)),W17)),V17)),U17)),T17)),S17)))),(IF(B$13&gt;$S$3,(IF(B$13&gt;$T$3,(IF(B$13&gt;$U$3,(IF(B$13&gt;$V$3,(IF(B$13&gt;$W$3,(IF(B$13&gt;$X$3,(IF(B$13&gt;$Y$3,(IF(B$13&gt;$Z$3,(IF(B$13&gt;$AA$3,"SMALLER",AA16)),Z16)),Y16)),X16)),W16)),V16)),U16)),T16)),S16)))),(IF(B$13&gt;$S$3,(IF(B$13&gt;$T$3,(IF(B$13&gt;$U$3,(IF(B$13&gt;$V$3,(IF(B$13&gt;$W$3,(IF(B$13&gt;$X$3,(IF(B$13&gt;$Y$3,(IF(B$13&gt;$Z$3,(IF(B$13&gt;$AA$3,(IF(B$13&gt;$AB$3,"SMALLER",AB15)),AA15)),Z15)),Y15)),X15)),W15)),V15)),U15)),T15)),S15)))),(IF(B$13&gt;$S$3,(IF(B$13&gt;$T$3,(IF(B$13&gt;$U$3,(IF(B$13&gt;$V$3,(IF(B$13&gt;$W$3,(IF(B$13&gt;$X$3,(IF(B$13&gt;$Y$3,(IF(B$13&gt;$Z$3,(IF(B$13&gt;$AA$3,(IF(B$13&gt;$AB$3,(IF(B$13&gt;$AC$3,"SMALLER",AC14)),AB14)),AA14)),Z14)),Y14)),X14)),W14)),V14)),U14)),T14)),S14)))),(IF(B$13&gt;$S$3,(IF(B$13&gt;$T$3,(IF(B$13&gt;$U$3,(IF(B$13&gt;$V$3,(IF(B$13&gt;$W$3,(IF(B$13&gt;$X$3,(IF(B$13&gt;$Y$3,(IF(B$13&gt;$Z$3,(IF(B$13&gt;$AA$3,(IF(B$13&gt;$AB$3,(IF(B$13&gt;$AC$3,(IF(B$13&gt;$AD$3,"SMALLER",AD13)),AC13)),AB13)),AA13)),Z13)),Y13)),X13)),W13)),V13)),U13)),T13)),S13)))),(IF(B$13&gt;$S$3,(IF(B$13&gt;$T$3,(IF(B$13&gt;$U$3,(IF(B$13&gt;$V$3,(IF(B$13&gt;$W$3,(IF(B$13&gt;$X$3,(IF(B$13&gt;$Y$3,(IF(B$13&gt;$Z$3,(IF(B$13&gt;$AA$3,(IF(B$13&gt;$AB$3,(IF(B$13&gt;$AC$3,(IF(B$13&gt;$AD$3,(IF(B$13&gt;$AE$3,"SMALLER",AE12)),AD12)),AC12)),AB12)),AA12)),Z12)),Y12)),X12)),W12)),V12)),U12)),T12)),S12)))),(IF(B$13&gt;$S$3,(IF(B$13&gt;$T$3,(IF(B$13&gt;$U$3,(IF(B$13&gt;$V$3,(IF(B$13&gt;$W$3,(IF(B$13&gt;$X$3,(IF(B$13&gt;$Y$3,(IF(B$13&gt;$Z$3,(IF(B$13&gt;$AA$3,(IF(B$13&gt;$AB$3,(IF(B$13&gt;$AC$3,(IF(B$13&gt;$AD$3,(IF(B$13&gt;$AE$3,(IF(B$13&gt;$AF$3,"SMALLER",AF11)),AE11)),AD11)),AC11)),AB11)),AA11)),Z11)),Y11)),X11)),W11)),V11)),U11)),T11)),S11)))),(IF(B$13&gt;$S$3,(IF(B$13&gt;$T$3,(IF(B$13&gt;$U$3,(IF(B$13&gt;$V$3,(IF(B$13&gt;$W$3,(IF(B$13&gt;$X$3,(IF(B$13&gt;$Y$3,(IF(B$13&gt;$Z$3,(IF(B$13&gt;$AA$3,(IF(B$13&gt;$AB$3,(IF(B$13&gt;$AC$3,(IF(B$13&gt;$AD$3,(IF(B$13&gt;$AE$3,(IF(B$13&gt;$AF$3,(IF(B$13&gt;$AG$3,"SMALLER",AG10)),AF10)),AE10)),AD10)),AC10)),AB10)),AA10)),Z10)),Y10)),X10)),W10)),V10)),U10)),T10)),S10)))),(IF(B$13&gt;$S$3,(IF(B$13&gt;$T$3,(IF(B$13&gt;$U$3,(IF(B$13&gt;$V$3,(IF(B$13&gt;$W$3,(IF(B$13&gt;$X$3,(IF(B$13&gt;$Y$3,(IF(B$13&gt;$Z$3,(IF(B$13&gt;$AA$3,(IF(B$13&gt;$AB$3,(IF(B$13&gt;$AC$3,(IF(B$13&gt;$AD$3,(IF(B$13&gt;$AE$3,(IF(B$13&gt;$AF$3,(IF(B$13&gt;$AG$3,(IF(B$13&gt;$AH$3,"SMALLER",AH9)),AG9)),AF9)),AE9)),AD9)),AC9)),AB9)),AA9)),Z9)),Y9)),X9)),W9)),V9)),U9)),T9)),S9)))),(IF(B$13&gt;$S$3,(IF(B$13&gt;$T$3,(IF(B$13&gt;$U$3,(IF(B$13&gt;$V$3,(IF(B$13&gt;$W$3,(IF(B$13&gt;$X$3,(IF(B$13&gt;$Y$3,(IF(B$13&gt;$Z$3,(IF(B$13&gt;$AA$3,(IF(B$13&gt;$AB$3,(IF(B$13&gt;$AC$3,(IF(B$13&gt;$AD$3,(IF(B$13&gt;$AE$3,(IF(B$13&gt;$AF$3,(IF(B$13&gt;$AG$3,(IF(B$13&gt;$AH$3,(IF(B$13&gt;$AI$3,"SMALLER",AI8)),AH8)),AG8)),AF8)),AE8)),AD8)),AC8)),AB8)),AA8)),Z8)),Y8)),X8)),W8)),V8)),U8)),T8)),S8)))),(IF(B$13&gt;$S$3,(IF(B$13&gt;$T$3,(IF(B$13&gt;$U$3,(IF(B$13&gt;$V$3,(IF(B$13&gt;$W$3,(IF(B$13&gt;$X$3,(IF(B$13&gt;$Y$3,(IF(B$13&gt;$Z$3,(IF(B$13&gt;$AA$3,(IF(B$13&gt;$AB$3,(IF(B$13&gt;$AC$3,(IF(B$13&gt;$AD$3,(IF(B$13&gt;$AE$3,(IF(B$13&gt;$AF$3,(IF(B$13&gt;$AG$3,(IF(B$13&gt;$AH$3,(IF(B$13&gt;$AI$3,(IF(B$13&gt;$AJ$3,"SMALLER",AJ7)),AI7)),AH7)),AG7)),AF7)),AE7)),AD7)),AC7)),AB7)),AA7)),Z7)),Y7)),X7)),W7)),V7)),U7)),T7)),S7)))),(IF(B$13&gt;$S$3,(IF(B$13&gt;$T$3,(IF(B$13&gt;$U$3,(IF(B$13&gt;$V$3,(IF(B$13&gt;$W$3,(IF(B$13&gt;$X$3,(IF(B$13&gt;$Y$3,(IF(B$13&gt;$Z$3,(IF(B$13&gt;$AA$3,(IF(B$13&gt;$AB$3,(IF(B$13&gt;$AC$3,(IF(B$13&gt;$AD$3,(IF(B$13&gt;$AE$3,(IF(B$13&gt;$AF$3,(IF(B$13&gt;$AG$3,(IF(B$13&gt;$AH$3,(IF(B$13&gt;$AI$3,(IF(B$13&gt;$AJ$3,(IF(B$13&gt;$AK$3,AK6,"SMALLER")),AJ6)),AI6)),AH6)),AG6)),AF6)),AE6)),AD6)),AC6)),AB6)),AA6)),Z6)),Y6)),X6)),W6)),V6)),U6)),T6)),S6)))),(IF(B$13&gt;$S$3,(IF(B$13&gt;$T$3,(IF(B$13&gt;$U$3,(IF(B$13&gt;$V$3,(IF(B$13&gt;$W$3,(IF(B$13&gt;$X$3,(IF(B$13&gt;$Y$3,(IF(B$13&gt;$Z$3,(IF(B$13&gt;$AA$3,(IF(B$13&gt;$AB$3,(IF(B$13&gt;$AC$3,(IF(B$13&gt;$AD$3,(IF(B$13&gt;$AE$3,(IF(B$13&gt;$AF$3,(IF(B$13&gt;$AG$3,(IF(B$13&gt;$AH$3,(IF(B$13&gt;$AI$3,(IF(B$13&gt;$AJ$3,(IF(B$13&gt;$AK$3,(IF(B$13&gt;$AL$3,AL5,"SMALLER")),AK5)),AJ5)),AI5)),AH5)),AG5)),AF5)),AE5)),AD5)),AC5)),AB5)),AA5)),Z5)),Y5)),X5)),W5)),V5)),U5)),T5)),S5)))),(IF(B$13&gt;$S$3,(IF(B$13&gt;$T$3,(IF(B$13&gt;$U$3,(IF(B$13&gt;$V$3,(IF(B$13&gt;$W$3,(IF(B$13&gt;$X$3,(IF(B$13&gt;$Y$3,(IF(B$13&gt;$Z$3,(IF(B$13&gt;$AA$3,(IF(B$13&gt;$AB$3,(IF(B$13&gt;$AC$3,(IF(B$13&gt;$AD$3,(IF(B$13&gt;$AE$3,(IF(B$13&gt;$AF$3,(IF(B$13&gt;$AG$3,(IF(B$13&gt;$AH$3,(IF(B$13&gt;$AI$3,(IF(B$13&gt;$AJ$3,(IF(B$13&gt;$AK$3,(IF(B$13&gt;$AL$3,(IF(B$13&gt;$AM$3,"NA",AM4)),AL4)),AK4)),AJ4)),AI4)),AH4)),AG4)),AF4)),AE4)),AD4)),AC4)),AB4)),AA4)),Z4)),Y4)),X4)),W4)),V4)),U4)),T4)),S4)))</f>
        <v>-1</v>
      </c>
      <c r="C20" s="57"/>
      <c r="D20" s="339"/>
      <c r="E20" s="340"/>
      <c r="F20" s="340"/>
      <c r="G20" s="340"/>
      <c r="H20" s="340"/>
      <c r="I20" s="340"/>
      <c r="J20" s="340"/>
      <c r="K20" s="340"/>
      <c r="L20" s="340"/>
      <c r="M20" s="340"/>
      <c r="N20" s="340"/>
      <c r="O20" s="340"/>
      <c r="P20" s="341"/>
      <c r="Q20" s="653"/>
      <c r="R20" s="5">
        <v>0.8</v>
      </c>
      <c r="S20" s="6">
        <v>-5</v>
      </c>
      <c r="T20" s="6">
        <v>-5</v>
      </c>
      <c r="U20" s="6">
        <v>-5</v>
      </c>
      <c r="V20" s="6">
        <v>-5</v>
      </c>
      <c r="W20" s="6">
        <v>-5</v>
      </c>
      <c r="X20" s="380"/>
      <c r="Y20" s="380"/>
      <c r="Z20" s="380"/>
      <c r="AA20" s="380"/>
      <c r="AB20" s="380"/>
      <c r="AC20" s="380"/>
      <c r="AD20" s="380"/>
      <c r="AE20" s="380"/>
      <c r="AF20" s="380"/>
      <c r="AG20" s="380"/>
      <c r="AH20" s="380"/>
      <c r="AI20" s="380"/>
      <c r="AJ20" s="380"/>
      <c r="AK20" s="380"/>
      <c r="AL20" s="380"/>
      <c r="AM20" s="380"/>
    </row>
    <row r="21" spans="1:39" s="58" customFormat="1" ht="20.149999999999999" customHeight="1" x14ac:dyDescent="0.3">
      <c r="A21" s="77" t="s">
        <v>163</v>
      </c>
      <c r="B21" s="240" t="str">
        <f>(IF(B19="BIGGER","",-(B19-B20)/100))</f>
        <v/>
      </c>
      <c r="C21" s="110"/>
      <c r="D21" s="334"/>
      <c r="E21" s="359"/>
      <c r="F21" s="359"/>
      <c r="G21" s="340"/>
      <c r="H21" s="340"/>
      <c r="I21" s="340"/>
      <c r="J21" s="340"/>
      <c r="K21" s="340"/>
      <c r="L21" s="340"/>
      <c r="M21" s="340"/>
      <c r="N21" s="340"/>
      <c r="O21" s="340"/>
      <c r="P21" s="341"/>
      <c r="Q21" s="653"/>
      <c r="R21" s="5">
        <v>0.85</v>
      </c>
      <c r="S21" s="6">
        <v>-5</v>
      </c>
      <c r="T21" s="6">
        <v>-5</v>
      </c>
      <c r="U21" s="6">
        <v>-5</v>
      </c>
      <c r="V21" s="6">
        <v>-5</v>
      </c>
      <c r="W21" s="380"/>
      <c r="X21" s="380"/>
      <c r="Y21" s="380"/>
      <c r="Z21" s="380"/>
      <c r="AA21" s="380"/>
      <c r="AB21" s="380"/>
      <c r="AC21" s="380"/>
      <c r="AD21" s="380"/>
      <c r="AE21" s="380"/>
      <c r="AF21" s="380"/>
      <c r="AG21" s="380"/>
      <c r="AH21" s="380"/>
      <c r="AI21" s="380"/>
      <c r="AJ21" s="380"/>
      <c r="AK21" s="380"/>
      <c r="AL21" s="380"/>
      <c r="AM21" s="380"/>
    </row>
    <row r="22" spans="1:39" s="58" customFormat="1" ht="20.149999999999999" customHeight="1" x14ac:dyDescent="0.3">
      <c r="A22" s="40"/>
      <c r="B22" s="198"/>
      <c r="C22" s="57"/>
      <c r="D22" s="339"/>
      <c r="E22" s="340"/>
      <c r="F22" s="340"/>
      <c r="G22" s="340"/>
      <c r="H22" s="340"/>
      <c r="I22" s="340"/>
      <c r="J22" s="340"/>
      <c r="K22" s="340"/>
      <c r="L22" s="340"/>
      <c r="M22" s="340"/>
      <c r="N22" s="340"/>
      <c r="O22" s="340"/>
      <c r="P22" s="341"/>
      <c r="Q22" s="653"/>
      <c r="R22" s="5">
        <v>0.9</v>
      </c>
      <c r="S22" s="6">
        <v>-5</v>
      </c>
      <c r="T22" s="6">
        <v>-5</v>
      </c>
      <c r="U22" s="6">
        <v>-5</v>
      </c>
      <c r="V22" s="6"/>
      <c r="W22" s="380"/>
      <c r="X22" s="380"/>
      <c r="Y22" s="380"/>
      <c r="Z22" s="381"/>
      <c r="AA22" s="380"/>
      <c r="AB22" s="380"/>
      <c r="AC22" s="380"/>
      <c r="AD22" s="380"/>
      <c r="AE22" s="380"/>
      <c r="AF22" s="380"/>
      <c r="AG22" s="380"/>
      <c r="AH22" s="380"/>
      <c r="AI22" s="380"/>
      <c r="AJ22" s="380"/>
      <c r="AK22" s="380"/>
      <c r="AL22" s="380"/>
      <c r="AM22" s="380"/>
    </row>
    <row r="23" spans="1:39" s="58" customFormat="1" ht="30" customHeight="1" x14ac:dyDescent="0.3">
      <c r="A23" s="172" t="s">
        <v>164</v>
      </c>
      <c r="B23" s="268"/>
      <c r="C23" s="57"/>
      <c r="D23" s="339"/>
      <c r="E23" s="340"/>
      <c r="F23" s="340"/>
      <c r="G23" s="340"/>
      <c r="H23" s="340"/>
      <c r="I23" s="340"/>
      <c r="J23" s="340"/>
      <c r="K23" s="340"/>
      <c r="L23" s="340"/>
      <c r="M23" s="340"/>
      <c r="N23" s="340"/>
      <c r="O23" s="340"/>
      <c r="P23" s="341"/>
      <c r="Q23" s="653"/>
      <c r="R23" s="5">
        <v>0.95</v>
      </c>
      <c r="S23" s="6">
        <v>-5</v>
      </c>
      <c r="T23" s="6">
        <v>-6</v>
      </c>
      <c r="U23" s="380"/>
      <c r="V23" s="380"/>
      <c r="W23" s="380"/>
      <c r="X23" s="380"/>
      <c r="Y23" s="380"/>
      <c r="Z23" s="380"/>
      <c r="AA23" s="380"/>
      <c r="AB23" s="380"/>
      <c r="AC23" s="380"/>
      <c r="AD23" s="380"/>
      <c r="AE23" s="380"/>
      <c r="AF23" s="380"/>
      <c r="AG23" s="380"/>
      <c r="AH23" s="380"/>
      <c r="AI23" s="380"/>
      <c r="AJ23" s="380"/>
      <c r="AK23" s="380"/>
      <c r="AL23" s="380"/>
      <c r="AM23" s="380"/>
    </row>
    <row r="24" spans="1:39" s="58" customFormat="1" ht="20.149999999999999" customHeight="1" x14ac:dyDescent="0.3">
      <c r="A24" s="91" t="s">
        <v>161</v>
      </c>
      <c r="B24" s="238" t="str">
        <f>IF(B19="BIGGER", "", (B19*-0.4))</f>
        <v/>
      </c>
      <c r="C24" s="57"/>
      <c r="D24" s="339"/>
      <c r="E24" s="340"/>
      <c r="F24" s="340"/>
      <c r="G24" s="340"/>
      <c r="H24" s="340"/>
      <c r="I24" s="340"/>
      <c r="J24" s="340"/>
      <c r="K24" s="340"/>
      <c r="L24" s="340"/>
      <c r="M24" s="340"/>
      <c r="N24" s="340"/>
      <c r="O24" s="340"/>
      <c r="P24" s="341"/>
      <c r="Q24" s="654">
        <v>1</v>
      </c>
      <c r="R24" s="654"/>
      <c r="S24" s="6">
        <v>-6</v>
      </c>
      <c r="T24" s="6"/>
      <c r="U24" s="381"/>
      <c r="V24" s="381"/>
      <c r="W24" s="381"/>
      <c r="X24" s="381"/>
      <c r="Y24" s="381"/>
      <c r="Z24" s="380"/>
      <c r="AA24" s="380"/>
      <c r="AB24" s="380"/>
      <c r="AC24" s="380"/>
      <c r="AD24" s="380"/>
      <c r="AE24" s="380"/>
      <c r="AF24" s="380"/>
      <c r="AG24" s="380"/>
      <c r="AH24" s="380"/>
      <c r="AI24" s="380"/>
      <c r="AJ24" s="380"/>
      <c r="AK24" s="380"/>
      <c r="AL24" s="380"/>
      <c r="AM24" s="380"/>
    </row>
    <row r="25" spans="1:39" s="58" customFormat="1" ht="20.149999999999999" customHeight="1" x14ac:dyDescent="0.3">
      <c r="A25" s="76" t="s">
        <v>162</v>
      </c>
      <c r="B25" s="239">
        <f>IF(B20="BIGGER", "", (B20*-0.4))</f>
        <v>0.4</v>
      </c>
      <c r="C25" s="57"/>
      <c r="D25" s="339"/>
      <c r="E25" s="340"/>
      <c r="F25" s="340"/>
      <c r="G25" s="340"/>
      <c r="H25" s="340"/>
      <c r="I25" s="340"/>
      <c r="J25" s="340"/>
      <c r="K25" s="340"/>
      <c r="L25" s="340"/>
      <c r="M25" s="340"/>
      <c r="N25" s="340"/>
      <c r="O25" s="340"/>
      <c r="P25" s="341"/>
      <c r="Q25" s="652"/>
      <c r="R25" s="652"/>
      <c r="S25" s="650"/>
      <c r="T25" s="340"/>
      <c r="U25" s="650"/>
      <c r="V25" s="650"/>
      <c r="W25" s="650"/>
      <c r="X25" s="650"/>
      <c r="Y25" s="650"/>
      <c r="Z25" s="340"/>
      <c r="AA25" s="650"/>
      <c r="AB25" s="650"/>
      <c r="AC25" s="650"/>
      <c r="AD25" s="650"/>
      <c r="AE25" s="650"/>
      <c r="AF25" s="340"/>
      <c r="AG25" s="650"/>
      <c r="AH25" s="650"/>
      <c r="AI25" s="650"/>
      <c r="AJ25" s="650"/>
      <c r="AK25" s="650"/>
      <c r="AL25" s="340"/>
      <c r="AM25" s="340"/>
    </row>
    <row r="26" spans="1:39" s="355" customFormat="1" ht="20.149999999999999" customHeight="1" x14ac:dyDescent="0.3">
      <c r="A26" s="77" t="s">
        <v>163</v>
      </c>
      <c r="B26" s="240" t="str">
        <f>IF(B24="","",(B24-B25)/100)</f>
        <v/>
      </c>
      <c r="C26" s="57"/>
      <c r="D26" s="339"/>
      <c r="E26" s="340"/>
      <c r="F26" s="340"/>
      <c r="G26" s="340"/>
      <c r="H26" s="340"/>
      <c r="I26" s="340"/>
      <c r="J26" s="340"/>
      <c r="K26" s="340"/>
      <c r="L26" s="340"/>
      <c r="M26" s="340"/>
      <c r="N26" s="340"/>
      <c r="O26" s="340"/>
      <c r="P26" s="341"/>
    </row>
    <row r="27" spans="1:39" ht="20.149999999999999" customHeight="1" x14ac:dyDescent="0.3">
      <c r="A27" s="40"/>
      <c r="B27" s="198"/>
      <c r="C27" s="57"/>
    </row>
    <row r="28" spans="1:39" ht="30" customHeight="1" x14ac:dyDescent="0.3">
      <c r="A28" s="172" t="s">
        <v>165</v>
      </c>
      <c r="B28" s="268"/>
      <c r="C28" s="57"/>
    </row>
    <row r="29" spans="1:39" ht="20.149999999999999" customHeight="1" x14ac:dyDescent="0.3">
      <c r="A29" s="91" t="s">
        <v>166</v>
      </c>
      <c r="B29" s="238" t="str">
        <f>(B10)</f>
        <v/>
      </c>
      <c r="C29" s="57"/>
    </row>
    <row r="30" spans="1:39" ht="20.149999999999999" customHeight="1" x14ac:dyDescent="0.3">
      <c r="A30" s="76" t="s">
        <v>167</v>
      </c>
      <c r="B30" s="551" t="str">
        <f>(IF(B29="","",((B29)*15)))</f>
        <v/>
      </c>
      <c r="C30" s="57"/>
    </row>
    <row r="31" spans="1:39" ht="20.149999999999999" customHeight="1" x14ac:dyDescent="0.3">
      <c r="A31" s="76" t="s">
        <v>168</v>
      </c>
      <c r="B31" s="552" t="str">
        <f>(B14)</f>
        <v/>
      </c>
      <c r="C31" s="57"/>
    </row>
    <row r="32" spans="1:39" ht="20.149999999999999" customHeight="1" x14ac:dyDescent="0.3">
      <c r="A32" s="77" t="s">
        <v>167</v>
      </c>
      <c r="B32" s="553" t="str">
        <f>(IF(B31="","",((B31*4))))</f>
        <v/>
      </c>
      <c r="C32" s="57"/>
    </row>
    <row r="33" spans="1:15" ht="20.149999999999999" customHeight="1" x14ac:dyDescent="0.3">
      <c r="A33" s="40"/>
      <c r="B33" s="66"/>
      <c r="C33" s="57"/>
    </row>
    <row r="34" spans="1:15" ht="20.149999999999999" customHeight="1" x14ac:dyDescent="0.3">
      <c r="A34" s="194" t="s">
        <v>169</v>
      </c>
      <c r="B34" s="554" t="str">
        <f>IF(B32="","",SUM(B30+B32))</f>
        <v/>
      </c>
      <c r="C34" s="57"/>
    </row>
    <row r="35" spans="1:15" ht="20.149999999999999" customHeight="1" x14ac:dyDescent="0.3">
      <c r="A35" s="40"/>
      <c r="B35" s="66"/>
      <c r="C35" s="57"/>
    </row>
    <row r="36" spans="1:15" ht="30" customHeight="1" x14ac:dyDescent="0.3">
      <c r="A36" s="189" t="s">
        <v>170</v>
      </c>
      <c r="B36" s="186"/>
      <c r="C36" s="193"/>
      <c r="D36" s="364"/>
      <c r="E36" s="365"/>
      <c r="F36" s="365"/>
      <c r="G36" s="365"/>
      <c r="H36" s="365"/>
      <c r="I36" s="366"/>
      <c r="J36" s="366"/>
      <c r="K36" s="366"/>
      <c r="L36" s="366"/>
      <c r="M36" s="366"/>
      <c r="N36" s="366"/>
    </row>
    <row r="37" spans="1:15" ht="20.149999999999999" customHeight="1" x14ac:dyDescent="0.3">
      <c r="A37" s="40"/>
      <c r="B37" s="66"/>
      <c r="C37" s="57"/>
      <c r="G37" s="650"/>
      <c r="H37" s="650"/>
    </row>
    <row r="38" spans="1:15" ht="30" customHeight="1" x14ac:dyDescent="0.3">
      <c r="A38" s="172" t="s">
        <v>126</v>
      </c>
      <c r="B38" s="267"/>
      <c r="C38" s="57"/>
    </row>
    <row r="39" spans="1:15" ht="20.149999999999999" customHeight="1" x14ac:dyDescent="0.3">
      <c r="A39" s="91" t="s">
        <v>105</v>
      </c>
      <c r="B39" s="555" t="str">
        <f>(IF(B21="","",B21))</f>
        <v/>
      </c>
      <c r="C39" s="110"/>
      <c r="D39" s="334"/>
      <c r="E39" s="359"/>
      <c r="F39" s="359"/>
      <c r="G39" s="359"/>
      <c r="H39" s="359"/>
      <c r="I39" s="359"/>
      <c r="J39" s="359"/>
      <c r="K39" s="359"/>
      <c r="L39" s="359"/>
      <c r="M39" s="359"/>
      <c r="N39" s="359"/>
    </row>
    <row r="40" spans="1:15" ht="20.149999999999999" customHeight="1" x14ac:dyDescent="0.3">
      <c r="A40" s="77" t="s">
        <v>106</v>
      </c>
      <c r="B40" s="556" t="str">
        <f>IF(B39="","",(B39*'Input Sheet'!I6*'Input Sheet'!B5)*100)</f>
        <v/>
      </c>
      <c r="C40" s="163"/>
      <c r="D40" s="367"/>
      <c r="E40" s="368"/>
      <c r="F40" s="368"/>
      <c r="G40" s="368"/>
      <c r="H40" s="368"/>
      <c r="I40" s="368"/>
      <c r="J40" s="368"/>
      <c r="K40" s="368"/>
      <c r="L40" s="368"/>
      <c r="M40" s="368"/>
      <c r="N40" s="368"/>
    </row>
    <row r="41" spans="1:15" ht="20.149999999999999" customHeight="1" x14ac:dyDescent="0.3">
      <c r="A41" s="199"/>
      <c r="B41" s="66"/>
      <c r="C41" s="57"/>
    </row>
    <row r="42" spans="1:15" ht="30" customHeight="1" x14ac:dyDescent="0.3">
      <c r="A42" s="172" t="s">
        <v>107</v>
      </c>
      <c r="B42" s="262"/>
      <c r="C42" s="162"/>
      <c r="D42" s="369"/>
      <c r="E42" s="370"/>
      <c r="F42" s="370"/>
      <c r="G42" s="370"/>
      <c r="H42" s="370"/>
      <c r="I42" s="370"/>
      <c r="J42" s="370"/>
      <c r="K42" s="370"/>
      <c r="L42" s="370"/>
      <c r="M42" s="370"/>
      <c r="N42" s="370"/>
    </row>
    <row r="43" spans="1:15" ht="20.149999999999999" customHeight="1" x14ac:dyDescent="0.3">
      <c r="A43" s="91" t="s">
        <v>108</v>
      </c>
      <c r="B43" s="555" t="str">
        <f>(IF(B26="", "", B26))</f>
        <v/>
      </c>
      <c r="C43" s="57"/>
      <c r="O43" s="371"/>
    </row>
    <row r="44" spans="1:15" ht="20.149999999999999" customHeight="1" x14ac:dyDescent="0.3">
      <c r="A44" s="77" t="s">
        <v>106</v>
      </c>
      <c r="B44" s="557" t="str">
        <f>IF(B43="","",(B43*10*'Input Sheet'!B5)*100)</f>
        <v/>
      </c>
      <c r="C44" s="201"/>
      <c r="D44" s="372"/>
      <c r="E44" s="373"/>
      <c r="G44" s="374"/>
      <c r="H44" s="374"/>
      <c r="I44" s="374"/>
      <c r="J44" s="374"/>
      <c r="K44" s="374"/>
      <c r="L44" s="374"/>
      <c r="M44" s="374"/>
      <c r="N44" s="374"/>
    </row>
    <row r="45" spans="1:15" ht="20.149999999999999" customHeight="1" x14ac:dyDescent="0.3">
      <c r="A45" s="200"/>
      <c r="B45" s="181"/>
      <c r="C45" s="201"/>
      <c r="D45" s="372"/>
      <c r="E45" s="373"/>
      <c r="G45" s="374"/>
      <c r="H45" s="374"/>
      <c r="I45" s="374"/>
      <c r="J45" s="374"/>
      <c r="K45" s="374"/>
      <c r="L45" s="374"/>
      <c r="M45" s="374"/>
      <c r="N45" s="374"/>
    </row>
    <row r="46" spans="1:15" ht="30" customHeight="1" x14ac:dyDescent="0.3">
      <c r="A46" s="172" t="s">
        <v>171</v>
      </c>
      <c r="B46" s="269"/>
      <c r="C46" s="201"/>
      <c r="D46" s="372"/>
      <c r="E46" s="373"/>
      <c r="G46" s="374"/>
      <c r="H46" s="374"/>
      <c r="I46" s="374"/>
      <c r="J46" s="374"/>
      <c r="K46" s="374"/>
      <c r="L46" s="374"/>
      <c r="M46" s="374"/>
      <c r="N46" s="374"/>
    </row>
    <row r="47" spans="1:15" ht="20.149999999999999" customHeight="1" x14ac:dyDescent="0.3">
      <c r="A47" s="91" t="s">
        <v>172</v>
      </c>
      <c r="B47" s="292" t="str">
        <f>IF(B34="", "", B34)</f>
        <v/>
      </c>
      <c r="C47" s="201"/>
      <c r="D47" s="372"/>
      <c r="E47" s="373"/>
      <c r="G47" s="374"/>
      <c r="H47" s="374"/>
      <c r="I47" s="374"/>
      <c r="J47" s="374"/>
      <c r="K47" s="374"/>
      <c r="L47" s="374"/>
      <c r="M47" s="374"/>
      <c r="N47" s="374"/>
    </row>
    <row r="48" spans="1:15" ht="20.149999999999999" customHeight="1" x14ac:dyDescent="0.3">
      <c r="A48" s="77" t="s">
        <v>106</v>
      </c>
      <c r="B48" s="558" t="str">
        <f>(IF(B47="","",(B47)*'Input Sheet'!B16*'Input Sheet'!B5))</f>
        <v/>
      </c>
      <c r="C48" s="57"/>
    </row>
    <row r="49" spans="1:15" ht="20.149999999999999" customHeight="1" x14ac:dyDescent="0.3">
      <c r="A49" s="200"/>
      <c r="B49" s="66"/>
      <c r="C49" s="57"/>
    </row>
    <row r="50" spans="1:15" ht="30" customHeight="1" x14ac:dyDescent="0.3">
      <c r="A50" s="452" t="s">
        <v>109</v>
      </c>
      <c r="B50" s="559" t="str">
        <f>IF(AND((B40=""), (B44=""), (B48="")), "", (B40+B44+B48))</f>
        <v/>
      </c>
      <c r="C50" s="418" t="str">
        <f>IF(B50="","Well done!"&amp;CHAR(10)&amp;"You do not have a gap in this area", "")</f>
        <v>Well done!
You do not have a gap in this area</v>
      </c>
      <c r="E50" s="370"/>
      <c r="F50" s="370"/>
      <c r="G50" s="370"/>
      <c r="H50" s="370"/>
      <c r="I50" s="370"/>
      <c r="J50" s="370"/>
      <c r="K50" s="370"/>
      <c r="L50" s="370"/>
      <c r="M50" s="370"/>
      <c r="N50" s="370"/>
    </row>
    <row r="51" spans="1:15" x14ac:dyDescent="0.3">
      <c r="A51" s="40"/>
      <c r="B51" s="66"/>
      <c r="C51" s="674"/>
    </row>
    <row r="52" spans="1:15" x14ac:dyDescent="0.3">
      <c r="A52" s="79"/>
      <c r="B52" s="83"/>
      <c r="C52" s="675"/>
      <c r="D52" s="375"/>
      <c r="E52" s="376"/>
      <c r="G52" s="377"/>
      <c r="H52" s="377"/>
      <c r="I52" s="377"/>
      <c r="J52" s="377"/>
      <c r="K52" s="377"/>
      <c r="L52" s="377"/>
      <c r="M52" s="377"/>
      <c r="N52" s="377"/>
    </row>
    <row r="53" spans="1:15" x14ac:dyDescent="0.3">
      <c r="A53" s="40"/>
      <c r="B53" s="66"/>
      <c r="C53" s="57"/>
      <c r="O53" s="371"/>
    </row>
    <row r="54" spans="1:15" ht="14.25" customHeight="1" x14ac:dyDescent="0.3">
      <c r="A54" s="202"/>
      <c r="B54" s="203"/>
      <c r="C54" s="204"/>
    </row>
    <row r="55" spans="1:15" ht="14.25" customHeight="1" x14ac:dyDescent="0.3">
      <c r="A55" s="202"/>
      <c r="B55" s="203"/>
      <c r="C55" s="204"/>
    </row>
    <row r="56" spans="1:15" ht="14.25" customHeight="1" x14ac:dyDescent="0.3">
      <c r="A56" s="202"/>
      <c r="B56" s="203"/>
      <c r="C56" s="204"/>
    </row>
    <row r="57" spans="1:15" ht="14.25" customHeight="1" x14ac:dyDescent="0.3">
      <c r="A57" s="202"/>
      <c r="B57" s="203"/>
      <c r="C57" s="204"/>
    </row>
  </sheetData>
  <sheetProtection sheet="1" objects="1" selectLockedCells="1"/>
  <mergeCells count="8">
    <mergeCell ref="AG25:AK25"/>
    <mergeCell ref="Q3:R3"/>
    <mergeCell ref="G37:H37"/>
    <mergeCell ref="Q25:S25"/>
    <mergeCell ref="Q4:Q23"/>
    <mergeCell ref="Q24:R24"/>
    <mergeCell ref="U25:Y25"/>
    <mergeCell ref="AA25:AE25"/>
  </mergeCells>
  <conditionalFormatting sqref="S4:AM24">
    <cfRule type="colorScale" priority="1">
      <colorScale>
        <cfvo type="min"/>
        <cfvo type="percentile" val="50"/>
        <cfvo type="max"/>
        <color rgb="FFF8696B"/>
        <color rgb="FFFFEB84"/>
        <color rgb="FF63BE7B"/>
      </colorScale>
    </cfRule>
  </conditionalFormatting>
  <printOptions horizontalCentered="1"/>
  <pageMargins left="0.5" right="0.5" top="0.5" bottom="0.5" header="0.5" footer="0.5"/>
  <pageSetup paperSize="9" scale="63"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A640"/>
    <pageSetUpPr fitToPage="1"/>
  </sheetPr>
  <dimension ref="A1:N62"/>
  <sheetViews>
    <sheetView topLeftCell="A10" zoomScaleNormal="100" workbookViewId="0">
      <selection activeCell="E48" sqref="E48"/>
    </sheetView>
  </sheetViews>
  <sheetFormatPr defaultColWidth="0" defaultRowHeight="20.149999999999999" customHeight="1" zeroHeight="1" x14ac:dyDescent="0.3"/>
  <cols>
    <col min="1" max="1" width="53.58203125" style="35" customWidth="1"/>
    <col min="2" max="5" width="17.5" style="7" customWidth="1"/>
    <col min="6" max="6" width="8.33203125" style="58" hidden="1" customWidth="1"/>
    <col min="7" max="7" width="9.83203125" style="58" hidden="1" customWidth="1"/>
    <col min="8" max="8" width="3" style="58" hidden="1" customWidth="1"/>
    <col min="9" max="9" width="8.25" style="58" hidden="1" customWidth="1"/>
    <col min="10" max="10" width="5.83203125" style="58" hidden="1" customWidth="1"/>
    <col min="11" max="11" width="3.58203125" style="58" hidden="1" customWidth="1"/>
    <col min="12" max="12" width="18.5" style="58" hidden="1" customWidth="1"/>
    <col min="13" max="16384" width="9" hidden="1"/>
  </cols>
  <sheetData>
    <row r="1" spans="1:14" ht="60" customHeight="1" x14ac:dyDescent="0.3">
      <c r="A1" s="32" t="s">
        <v>173</v>
      </c>
      <c r="B1" s="82"/>
      <c r="C1" s="82"/>
      <c r="D1" s="82"/>
      <c r="E1" s="82"/>
    </row>
    <row r="2" spans="1:14" ht="20.149999999999999" customHeight="1" x14ac:dyDescent="0.3">
      <c r="A2" s="79"/>
      <c r="B2" s="83"/>
      <c r="C2" s="83"/>
      <c r="D2" s="83"/>
      <c r="E2" s="83"/>
      <c r="F2" s="70"/>
      <c r="G2" s="70"/>
    </row>
    <row r="3" spans="1:14" ht="30" customHeight="1" x14ac:dyDescent="0.3">
      <c r="A3" s="172" t="s">
        <v>174</v>
      </c>
      <c r="B3" s="249" t="s">
        <v>175</v>
      </c>
      <c r="C3" s="264" t="s">
        <v>176</v>
      </c>
      <c r="D3" s="249" t="s">
        <v>266</v>
      </c>
      <c r="E3" s="265" t="s">
        <v>177</v>
      </c>
      <c r="F3" s="70"/>
      <c r="G3" s="70"/>
    </row>
    <row r="4" spans="1:14" ht="20.149999999999999" customHeight="1" x14ac:dyDescent="0.3">
      <c r="A4" s="75" t="s">
        <v>35</v>
      </c>
      <c r="B4" s="257" t="str">
        <f>IF('Input Sheet'!F11="","0",'Input Sheet'!F11)</f>
        <v>0</v>
      </c>
      <c r="C4" s="258" t="str">
        <f>IF('Input Sheet'!$B$6="","",B4/'Input Sheet'!$B$6)</f>
        <v/>
      </c>
      <c r="D4" s="259">
        <v>0.05</v>
      </c>
      <c r="E4" s="260" t="str">
        <f t="shared" ref="E4:E9" si="0">IF(C4="","",C4-D4)</f>
        <v/>
      </c>
      <c r="F4" s="70"/>
      <c r="G4" s="70"/>
    </row>
    <row r="5" spans="1:14" ht="20.149999999999999" customHeight="1" x14ac:dyDescent="0.3">
      <c r="A5" s="76" t="s">
        <v>37</v>
      </c>
      <c r="B5" s="224" t="str">
        <f>IF('Input Sheet'!F12="","0",'Input Sheet'!F12)</f>
        <v>0</v>
      </c>
      <c r="C5" s="225" t="str">
        <f>IF('Input Sheet'!$B$6="","",B5/'Input Sheet'!$B$6)</f>
        <v/>
      </c>
      <c r="D5" s="226">
        <v>0.01</v>
      </c>
      <c r="E5" s="227" t="str">
        <f t="shared" si="0"/>
        <v/>
      </c>
      <c r="F5" s="70"/>
    </row>
    <row r="6" spans="1:14" ht="20.149999999999999" customHeight="1" x14ac:dyDescent="0.3">
      <c r="A6" s="214" t="s">
        <v>39</v>
      </c>
      <c r="B6" s="257" t="str">
        <f>IF('Input Sheet'!F13="","0",'Input Sheet'!F13)</f>
        <v>0</v>
      </c>
      <c r="C6" s="225" t="str">
        <f>IF('Input Sheet'!$B$6="","",B6/'Input Sheet'!$B$6)</f>
        <v/>
      </c>
      <c r="D6" s="226">
        <v>0.02</v>
      </c>
      <c r="E6" s="227" t="str">
        <f t="shared" si="0"/>
        <v/>
      </c>
      <c r="F6" s="70"/>
    </row>
    <row r="7" spans="1:14" ht="20.149999999999999" customHeight="1" x14ac:dyDescent="0.3">
      <c r="A7" s="76" t="str">
        <f>('Input Sheet'!E14)</f>
        <v>Select One:</v>
      </c>
      <c r="B7" s="224" t="str">
        <f>IF('Input Sheet'!F14="","0",'Input Sheet'!F14)</f>
        <v>0</v>
      </c>
      <c r="C7" s="225" t="str">
        <f>IF('Input Sheet'!$B$6="","",B7/'Input Sheet'!$B$6)</f>
        <v/>
      </c>
      <c r="D7" s="226">
        <f>IF(A7="Vaginal Discharge",1%,IF(A7="Endometritis (Metri-Check Positive)",7%,0))</f>
        <v>0</v>
      </c>
      <c r="E7" s="227" t="str">
        <f t="shared" si="0"/>
        <v/>
      </c>
      <c r="F7" s="70"/>
    </row>
    <row r="8" spans="1:14" ht="20.149999999999999" customHeight="1" x14ac:dyDescent="0.3">
      <c r="A8" s="76" t="s">
        <v>44</v>
      </c>
      <c r="B8" s="257" t="str">
        <f>IF('Input Sheet'!F15="","0",'Input Sheet'!F15)</f>
        <v>0</v>
      </c>
      <c r="C8" s="225" t="str">
        <f>IF('Input Sheet'!$B$6="","",B8/'Input Sheet'!$B$6)</f>
        <v/>
      </c>
      <c r="D8" s="228">
        <v>0.05</v>
      </c>
      <c r="E8" s="227" t="str">
        <f t="shared" si="0"/>
        <v/>
      </c>
      <c r="F8" s="70"/>
    </row>
    <row r="9" spans="1:14" ht="20.149999999999999" customHeight="1" x14ac:dyDescent="0.3">
      <c r="A9" s="77" t="s">
        <v>47</v>
      </c>
      <c r="B9" s="224" t="str">
        <f>IF('Input Sheet'!F16="","0",'Input Sheet'!F16)</f>
        <v>0</v>
      </c>
      <c r="C9" s="229" t="str">
        <f>IF('Input Sheet'!$B$6="","",B9/'Input Sheet'!$B$6)</f>
        <v/>
      </c>
      <c r="D9" s="230">
        <v>0.05</v>
      </c>
      <c r="E9" s="231" t="str">
        <f t="shared" si="0"/>
        <v/>
      </c>
      <c r="F9" s="70"/>
      <c r="G9" s="70"/>
    </row>
    <row r="10" spans="1:14" ht="20.149999999999999" customHeight="1" x14ac:dyDescent="0.3">
      <c r="A10" s="40"/>
      <c r="B10" s="66"/>
      <c r="C10" s="209"/>
      <c r="D10" s="218"/>
      <c r="E10" s="209"/>
      <c r="F10" s="70"/>
      <c r="G10" s="70"/>
    </row>
    <row r="11" spans="1:14" ht="35.15" customHeight="1" x14ac:dyDescent="0.3">
      <c r="A11" s="189" t="s">
        <v>178</v>
      </c>
      <c r="B11" s="184"/>
      <c r="C11" s="184"/>
      <c r="D11" s="184"/>
      <c r="E11" s="184"/>
      <c r="F11" s="185"/>
      <c r="G11" s="185"/>
      <c r="H11" s="185"/>
      <c r="I11" s="185"/>
      <c r="J11" s="185"/>
      <c r="K11" s="185"/>
      <c r="L11" s="185"/>
      <c r="M11" s="1"/>
      <c r="N11" s="1"/>
    </row>
    <row r="12" spans="1:14" ht="20.149999999999999" customHeight="1" x14ac:dyDescent="0.3">
      <c r="A12" s="40"/>
      <c r="B12" s="83"/>
      <c r="C12" s="83"/>
      <c r="D12" s="83"/>
      <c r="E12" s="83"/>
    </row>
    <row r="13" spans="1:14" ht="35.15" customHeight="1" x14ac:dyDescent="0.3">
      <c r="A13" s="263" t="s">
        <v>179</v>
      </c>
      <c r="B13" s="249" t="s">
        <v>180</v>
      </c>
      <c r="C13" s="249" t="s">
        <v>267</v>
      </c>
      <c r="D13" s="250" t="s">
        <v>181</v>
      </c>
      <c r="E13" s="83"/>
    </row>
    <row r="14" spans="1:14" ht="20.149999999999999" customHeight="1" x14ac:dyDescent="0.3">
      <c r="A14" s="253" t="s">
        <v>35</v>
      </c>
      <c r="B14" s="254" t="str">
        <f t="shared" ref="B14:B19" si="1">IF(E4&gt;0,E4,"")</f>
        <v/>
      </c>
      <c r="C14" s="255" t="str">
        <f>IF(B14="","",B14*0.15)</f>
        <v/>
      </c>
      <c r="D14" s="256" t="str">
        <f>IF(B14="","",B14*0.08)</f>
        <v/>
      </c>
      <c r="E14" s="128"/>
    </row>
    <row r="15" spans="1:14" ht="20.149999999999999" customHeight="1" x14ac:dyDescent="0.3">
      <c r="A15" s="135" t="s">
        <v>37</v>
      </c>
      <c r="B15" s="232" t="str">
        <f t="shared" si="1"/>
        <v/>
      </c>
      <c r="C15" s="233" t="str">
        <f>IF(B15="","",B15*0.12)</f>
        <v/>
      </c>
      <c r="D15" s="234" t="str">
        <f>IF(B15="","",B15*0.05)</f>
        <v/>
      </c>
      <c r="E15" s="128"/>
    </row>
    <row r="16" spans="1:14" ht="20.149999999999999" customHeight="1" x14ac:dyDescent="0.3">
      <c r="A16" s="216" t="s">
        <v>39</v>
      </c>
      <c r="B16" s="232" t="str">
        <f t="shared" si="1"/>
        <v/>
      </c>
      <c r="C16" s="233" t="str">
        <f>IF(B16="","",B16*0.2)</f>
        <v/>
      </c>
      <c r="D16" s="234" t="str">
        <f>IF(B16="","",B16*0.16)</f>
        <v/>
      </c>
      <c r="E16" s="128"/>
    </row>
    <row r="17" spans="1:14" ht="20.149999999999999" customHeight="1" x14ac:dyDescent="0.3">
      <c r="A17" s="135" t="str">
        <f>(A7)</f>
        <v>Select One:</v>
      </c>
      <c r="B17" s="232" t="str">
        <f t="shared" si="1"/>
        <v/>
      </c>
      <c r="C17" s="233" t="str">
        <f>IF(B17="","",IF(A17="Vaginal Discharge",B17*0.18,IF(A17="Endometritis (Metri-Check Positive)",B17*0.09,0)))</f>
        <v/>
      </c>
      <c r="D17" s="234" t="str">
        <f>IF(B17="","",B17*0.05)</f>
        <v/>
      </c>
      <c r="E17" s="128"/>
      <c r="F17" s="206"/>
    </row>
    <row r="18" spans="1:14" ht="20.149999999999999" customHeight="1" x14ac:dyDescent="0.3">
      <c r="A18" s="135" t="s">
        <v>44</v>
      </c>
      <c r="B18" s="232" t="str">
        <f t="shared" si="1"/>
        <v/>
      </c>
      <c r="C18" s="233" t="str">
        <f>IF(B18="","",B18*0.06)</f>
        <v/>
      </c>
      <c r="D18" s="234" t="str">
        <f>IF(B18="","",B18*0.03)</f>
        <v/>
      </c>
      <c r="E18" s="128"/>
    </row>
    <row r="19" spans="1:14" ht="20.149999999999999" customHeight="1" x14ac:dyDescent="0.3">
      <c r="A19" s="135" t="s">
        <v>47</v>
      </c>
      <c r="B19" s="232" t="str">
        <f t="shared" si="1"/>
        <v/>
      </c>
      <c r="C19" s="233" t="str">
        <f>IF(B19="","",B19*0.05)</f>
        <v/>
      </c>
      <c r="D19" s="234"/>
      <c r="E19" s="55"/>
    </row>
    <row r="20" spans="1:14" ht="35.15" customHeight="1" x14ac:dyDescent="0.3">
      <c r="A20" s="217" t="s">
        <v>182</v>
      </c>
      <c r="B20" s="235"/>
      <c r="C20" s="236" t="str">
        <f>IF(AND((C14=""),(C15=""),(C16=""),(C17=""),(C18=""),(C19="")),"",SUM(C14:C19))</f>
        <v/>
      </c>
      <c r="D20" s="237" t="str">
        <f>IF(AND((D14=""),(D15=""),(D16=""),(D17=""),(D18=""),(D19="")),"",SUM(D14:D19))</f>
        <v/>
      </c>
      <c r="E20" s="55"/>
    </row>
    <row r="21" spans="1:14" ht="20.149999999999999" customHeight="1" x14ac:dyDescent="0.3">
      <c r="A21" s="79"/>
      <c r="B21" s="83"/>
      <c r="C21" s="83"/>
      <c r="D21" s="83"/>
      <c r="E21" s="83"/>
    </row>
    <row r="22" spans="1:14" ht="35.15" customHeight="1" x14ac:dyDescent="0.3">
      <c r="A22" s="189" t="s">
        <v>183</v>
      </c>
      <c r="B22" s="184"/>
      <c r="C22" s="184"/>
      <c r="D22" s="184"/>
      <c r="E22" s="184"/>
      <c r="F22" s="185"/>
      <c r="G22" s="185"/>
      <c r="H22" s="185"/>
      <c r="I22" s="185"/>
      <c r="J22" s="185"/>
      <c r="K22" s="185"/>
      <c r="L22" s="185"/>
      <c r="M22" s="1"/>
      <c r="N22" s="1"/>
    </row>
    <row r="23" spans="1:14" ht="20.149999999999999" customHeight="1" x14ac:dyDescent="0.3">
      <c r="A23" s="215"/>
      <c r="B23" s="219"/>
      <c r="C23" s="219"/>
      <c r="D23" s="219"/>
      <c r="E23" s="219"/>
      <c r="F23" s="185"/>
      <c r="G23" s="185"/>
      <c r="H23" s="185"/>
      <c r="I23" s="185"/>
      <c r="J23" s="185"/>
      <c r="K23" s="185"/>
      <c r="L23" s="185"/>
      <c r="M23" s="1"/>
      <c r="N23" s="1"/>
    </row>
    <row r="24" spans="1:14" ht="30" customHeight="1" x14ac:dyDescent="0.3">
      <c r="A24" s="172" t="s">
        <v>126</v>
      </c>
      <c r="B24" s="262"/>
      <c r="C24" s="78"/>
      <c r="D24" s="78"/>
      <c r="E24" s="78"/>
      <c r="F24" s="187"/>
      <c r="G24" s="187"/>
      <c r="H24" s="187"/>
      <c r="I24" s="187"/>
      <c r="J24" s="187"/>
      <c r="K24" s="187"/>
      <c r="L24" s="187"/>
      <c r="M24" s="1"/>
      <c r="N24" s="1"/>
    </row>
    <row r="25" spans="1:14" ht="20.149999999999999" customHeight="1" x14ac:dyDescent="0.3">
      <c r="A25" s="75" t="s">
        <v>105</v>
      </c>
      <c r="B25" s="144" t="str">
        <f>IF(C20="","",C20)</f>
        <v/>
      </c>
      <c r="C25" s="66"/>
      <c r="D25" s="66"/>
      <c r="E25" s="66"/>
      <c r="M25" s="1"/>
      <c r="N25" s="1"/>
    </row>
    <row r="26" spans="1:14" ht="20.149999999999999" customHeight="1" x14ac:dyDescent="0.3">
      <c r="A26" s="77" t="s">
        <v>106</v>
      </c>
      <c r="B26" s="145" t="str">
        <f>IF(B25="","",(B25*'Input Sheet'!I6*'Input Sheet'!B6)*100)</f>
        <v/>
      </c>
      <c r="C26" s="211"/>
      <c r="D26" s="211"/>
      <c r="E26" s="66"/>
      <c r="K26" s="70"/>
      <c r="L26" s="207"/>
      <c r="M26" s="1"/>
      <c r="N26" s="1"/>
    </row>
    <row r="27" spans="1:14" ht="20.149999999999999" customHeight="1" x14ac:dyDescent="0.3">
      <c r="A27" s="199"/>
      <c r="B27" s="213"/>
      <c r="C27" s="220"/>
      <c r="D27" s="220"/>
      <c r="E27" s="220"/>
      <c r="F27" s="111"/>
      <c r="G27" s="111"/>
      <c r="H27" s="111"/>
      <c r="I27" s="111"/>
      <c r="J27" s="111"/>
      <c r="K27" s="111"/>
      <c r="L27" s="111"/>
      <c r="M27" s="1"/>
      <c r="N27" s="1"/>
    </row>
    <row r="28" spans="1:14" ht="30" customHeight="1" x14ac:dyDescent="0.3">
      <c r="A28" s="172" t="s">
        <v>107</v>
      </c>
      <c r="B28" s="261"/>
      <c r="C28" s="66"/>
      <c r="D28" s="66"/>
      <c r="E28" s="66"/>
      <c r="M28" s="1"/>
      <c r="N28" s="1"/>
    </row>
    <row r="29" spans="1:14" ht="20.149999999999999" customHeight="1" x14ac:dyDescent="0.3">
      <c r="A29" s="75" t="s">
        <v>108</v>
      </c>
      <c r="B29" s="427" t="str">
        <f>IF(D20="","",D20)</f>
        <v/>
      </c>
      <c r="C29" s="78"/>
      <c r="D29" s="78"/>
      <c r="E29" s="78"/>
      <c r="F29" s="187"/>
      <c r="G29" s="187"/>
      <c r="H29" s="187"/>
      <c r="I29" s="187"/>
      <c r="J29" s="187"/>
      <c r="K29" s="187"/>
      <c r="L29" s="187"/>
      <c r="M29" s="1"/>
      <c r="N29" s="1"/>
    </row>
    <row r="30" spans="1:14" ht="20.149999999999999" customHeight="1" x14ac:dyDescent="0.3">
      <c r="A30" s="77" t="s">
        <v>106</v>
      </c>
      <c r="B30" s="145" t="str">
        <f>IF(B29= "", "", ((B29*10*'Input Sheet'!B6)*100))</f>
        <v/>
      </c>
      <c r="C30" s="66"/>
      <c r="D30" s="66"/>
      <c r="E30" s="66"/>
      <c r="M30" s="1"/>
      <c r="N30" s="1"/>
    </row>
    <row r="31" spans="1:14" ht="20.149999999999999" customHeight="1" x14ac:dyDescent="0.3">
      <c r="A31" s="40"/>
      <c r="B31" s="212"/>
      <c r="C31" s="211"/>
      <c r="D31" s="211"/>
      <c r="E31" s="66"/>
      <c r="K31" s="70"/>
      <c r="L31" s="207"/>
      <c r="M31" s="1"/>
      <c r="N31" s="1"/>
    </row>
    <row r="32" spans="1:14" s="223" customFormat="1" ht="39.75" customHeight="1" x14ac:dyDescent="0.3">
      <c r="A32" s="245" t="s">
        <v>109</v>
      </c>
      <c r="B32" s="246" t="str">
        <f>IF(AND((B26=""),(B30="")),"",(B26+B30))</f>
        <v/>
      </c>
      <c r="C32" s="655" t="str">
        <f>IF(B32="","Well done!"&amp;CHAR(10)&amp;"You do not have a gap in this area", "")</f>
        <v>Well done!
You do not have a gap in this area</v>
      </c>
      <c r="D32" s="655"/>
      <c r="E32" s="199"/>
      <c r="F32" s="190"/>
      <c r="G32" s="190"/>
      <c r="H32" s="190"/>
      <c r="I32" s="190"/>
      <c r="J32" s="190"/>
      <c r="K32" s="190"/>
      <c r="L32" s="190"/>
      <c r="M32" s="222"/>
      <c r="N32" s="222"/>
    </row>
    <row r="33" spans="1:14" ht="20.149999999999999" customHeight="1" x14ac:dyDescent="0.3">
      <c r="A33" s="40"/>
      <c r="B33" s="66"/>
      <c r="C33" s="66"/>
      <c r="D33" s="66"/>
      <c r="E33" s="66"/>
      <c r="M33" s="1"/>
      <c r="N33" s="1"/>
    </row>
    <row r="34" spans="1:14" ht="20.149999999999999" customHeight="1" x14ac:dyDescent="0.3">
      <c r="A34" s="80"/>
      <c r="B34" s="78"/>
      <c r="C34" s="78"/>
      <c r="D34" s="78"/>
      <c r="E34" s="78"/>
      <c r="F34" s="187"/>
      <c r="G34" s="187"/>
      <c r="H34" s="187"/>
      <c r="I34" s="187"/>
      <c r="J34" s="187"/>
      <c r="K34" s="187"/>
      <c r="L34" s="187"/>
      <c r="M34" s="1"/>
    </row>
    <row r="35" spans="1:14" ht="20.149999999999999" customHeight="1" x14ac:dyDescent="0.3">
      <c r="A35" s="40"/>
      <c r="B35" s="66"/>
      <c r="C35" s="66"/>
      <c r="D35" s="66"/>
      <c r="E35" s="66"/>
      <c r="M35" s="1"/>
    </row>
    <row r="36" spans="1:14" ht="20.149999999999999" hidden="1" customHeight="1" x14ac:dyDescent="0.3">
      <c r="A36" s="79"/>
      <c r="B36" s="181"/>
      <c r="C36" s="181"/>
      <c r="D36" s="181"/>
      <c r="E36" s="181"/>
      <c r="F36" s="188"/>
      <c r="G36" s="188"/>
      <c r="I36" s="208"/>
      <c r="J36" s="208"/>
      <c r="K36" s="208"/>
      <c r="M36" s="1"/>
      <c r="N36" s="1"/>
    </row>
    <row r="37" spans="1:14" ht="20.149999999999999" hidden="1" customHeight="1" x14ac:dyDescent="0.3">
      <c r="A37" s="79"/>
      <c r="B37" s="83"/>
      <c r="C37" s="83"/>
      <c r="D37" s="83"/>
      <c r="E37" s="83"/>
      <c r="F37" s="70"/>
      <c r="G37" s="70"/>
      <c r="H37" s="70"/>
      <c r="I37" s="70"/>
      <c r="J37" s="70"/>
      <c r="K37" s="70"/>
      <c r="L37" s="70"/>
      <c r="M37" s="1"/>
      <c r="N37" s="1"/>
    </row>
    <row r="38" spans="1:14" ht="20.149999999999999" hidden="1" customHeight="1" x14ac:dyDescent="0.3">
      <c r="A38" s="79"/>
      <c r="B38" s="83"/>
      <c r="C38" s="83"/>
      <c r="D38" s="83"/>
      <c r="E38" s="83"/>
      <c r="F38" s="70"/>
      <c r="G38" s="70"/>
      <c r="H38" s="70"/>
      <c r="I38" s="70"/>
      <c r="J38" s="70"/>
      <c r="K38" s="70"/>
      <c r="L38" s="70"/>
      <c r="M38" s="1"/>
      <c r="N38" s="1"/>
    </row>
    <row r="39" spans="1:14" ht="20.149999999999999" hidden="1" customHeight="1" x14ac:dyDescent="0.3">
      <c r="A39" s="79"/>
      <c r="B39" s="83"/>
      <c r="C39" s="83"/>
      <c r="D39" s="83"/>
      <c r="E39" s="83"/>
      <c r="F39" s="70"/>
      <c r="G39" s="70"/>
      <c r="H39" s="70"/>
      <c r="I39" s="70"/>
      <c r="J39" s="70"/>
      <c r="K39" s="70"/>
      <c r="L39" s="70"/>
      <c r="M39" s="1"/>
      <c r="N39" s="1"/>
    </row>
    <row r="40" spans="1:14" ht="20.149999999999999" hidden="1" customHeight="1" x14ac:dyDescent="0.3">
      <c r="A40" s="40"/>
      <c r="B40" s="66"/>
      <c r="C40" s="66"/>
      <c r="D40" s="66"/>
      <c r="E40" s="66"/>
      <c r="M40" s="1"/>
      <c r="N40" s="1"/>
    </row>
    <row r="41" spans="1:14" ht="20.149999999999999" hidden="1" customHeight="1" x14ac:dyDescent="0.3">
      <c r="A41" s="40"/>
      <c r="B41" s="66"/>
      <c r="C41" s="66"/>
      <c r="D41" s="66"/>
      <c r="E41" s="66"/>
      <c r="M41" s="1"/>
      <c r="N41" s="1"/>
    </row>
    <row r="42" spans="1:14" ht="20.149999999999999" hidden="1" customHeight="1" x14ac:dyDescent="0.3">
      <c r="A42" s="40"/>
      <c r="B42" s="66"/>
      <c r="C42" s="66"/>
      <c r="D42" s="66"/>
      <c r="E42" s="66"/>
      <c r="M42" s="1"/>
      <c r="N42" s="1"/>
    </row>
    <row r="43" spans="1:14" ht="20.149999999999999" hidden="1" customHeight="1" x14ac:dyDescent="0.3">
      <c r="A43" s="40"/>
      <c r="B43" s="66"/>
      <c r="C43" s="66"/>
      <c r="D43" s="66"/>
      <c r="E43" s="66"/>
      <c r="M43" s="1"/>
      <c r="N43" s="1"/>
    </row>
    <row r="44" spans="1:14" ht="20.149999999999999" customHeight="1" x14ac:dyDescent="0.3">
      <c r="A44" s="40"/>
      <c r="B44" s="66"/>
      <c r="C44" s="66"/>
      <c r="D44" s="66"/>
      <c r="E44" s="66"/>
      <c r="M44" s="1"/>
      <c r="N44" s="1"/>
    </row>
    <row r="45" spans="1:14" ht="20.149999999999999" customHeight="1" x14ac:dyDescent="0.3">
      <c r="A45" s="40"/>
      <c r="B45" s="66"/>
      <c r="C45" s="66"/>
      <c r="D45" s="66"/>
      <c r="E45" s="66"/>
      <c r="M45" s="1"/>
      <c r="N45" s="1"/>
    </row>
    <row r="46" spans="1:14" ht="20.149999999999999" customHeight="1" x14ac:dyDescent="0.3">
      <c r="A46" s="40"/>
      <c r="B46" s="66"/>
      <c r="C46" s="66"/>
      <c r="D46" s="66"/>
      <c r="E46" s="66"/>
      <c r="M46" s="1"/>
      <c r="N46" s="1"/>
    </row>
    <row r="47" spans="1:14" ht="20.149999999999999" customHeight="1" x14ac:dyDescent="0.3">
      <c r="A47" s="40"/>
      <c r="B47" s="66"/>
      <c r="C47" s="66"/>
      <c r="D47" s="66"/>
      <c r="E47" s="66"/>
      <c r="M47" s="1"/>
      <c r="N47" s="1"/>
    </row>
    <row r="48" spans="1:14" ht="14.25" customHeight="1" x14ac:dyDescent="0.3">
      <c r="A48" s="244"/>
      <c r="B48" s="67"/>
      <c r="C48" s="67"/>
      <c r="D48" s="67"/>
      <c r="E48" s="67"/>
      <c r="M48" s="1"/>
      <c r="N48" s="1"/>
    </row>
    <row r="49" spans="1:14" ht="14.25" customHeight="1" x14ac:dyDescent="0.3">
      <c r="A49" s="244"/>
      <c r="B49" s="67"/>
      <c r="C49" s="67"/>
      <c r="D49" s="67"/>
      <c r="E49" s="67"/>
      <c r="M49" s="1"/>
      <c r="N49" s="1"/>
    </row>
    <row r="50" spans="1:14" ht="14.25" customHeight="1" x14ac:dyDescent="0.3">
      <c r="A50" s="244"/>
      <c r="B50" s="67"/>
      <c r="C50" s="67"/>
      <c r="D50" s="67"/>
      <c r="E50" s="67"/>
      <c r="M50" s="1"/>
      <c r="N50" s="1"/>
    </row>
    <row r="51" spans="1:14" ht="14.25" customHeight="1" x14ac:dyDescent="0.3">
      <c r="A51" s="244"/>
      <c r="B51" s="67"/>
      <c r="C51" s="67"/>
      <c r="D51" s="67"/>
      <c r="E51" s="67"/>
      <c r="M51" s="1"/>
      <c r="N51" s="1"/>
    </row>
    <row r="52" spans="1:14" ht="20.149999999999999" hidden="1" customHeight="1" x14ac:dyDescent="0.3">
      <c r="M52" s="1"/>
      <c r="N52" s="1"/>
    </row>
    <row r="53" spans="1:14" ht="20.149999999999999" hidden="1" customHeight="1" x14ac:dyDescent="0.3">
      <c r="M53" s="1"/>
      <c r="N53" s="1"/>
    </row>
    <row r="54" spans="1:14" ht="20.149999999999999" hidden="1" customHeight="1" x14ac:dyDescent="0.3">
      <c r="M54" s="1"/>
      <c r="N54" s="1"/>
    </row>
    <row r="55" spans="1:14" ht="20.149999999999999" hidden="1" customHeight="1" x14ac:dyDescent="0.3">
      <c r="M55" s="1"/>
      <c r="N55" s="1"/>
    </row>
    <row r="56" spans="1:14" ht="20.149999999999999" hidden="1" customHeight="1" x14ac:dyDescent="0.3">
      <c r="M56" s="1"/>
      <c r="N56" s="1"/>
    </row>
    <row r="57" spans="1:14" ht="20.149999999999999" hidden="1" customHeight="1" x14ac:dyDescent="0.3">
      <c r="M57" s="1"/>
      <c r="N57" s="1"/>
    </row>
    <row r="58" spans="1:14" ht="20.149999999999999" hidden="1" customHeight="1" x14ac:dyDescent="0.3">
      <c r="M58" s="1"/>
      <c r="N58" s="1"/>
    </row>
    <row r="59" spans="1:14" ht="20.149999999999999" hidden="1" customHeight="1" x14ac:dyDescent="0.3">
      <c r="M59" s="1"/>
      <c r="N59" s="1"/>
    </row>
    <row r="60" spans="1:14" ht="20.149999999999999" hidden="1" customHeight="1" x14ac:dyDescent="0.3">
      <c r="M60" s="1"/>
      <c r="N60" s="1"/>
    </row>
    <row r="61" spans="1:14" ht="20.149999999999999" hidden="1" customHeight="1" x14ac:dyDescent="0.3">
      <c r="M61" s="1"/>
      <c r="N61" s="1"/>
    </row>
    <row r="62" spans="1:14" ht="20.149999999999999" hidden="1" customHeight="1" x14ac:dyDescent="0.3">
      <c r="M62" s="1"/>
      <c r="N62" s="1"/>
    </row>
  </sheetData>
  <sheetProtection sheet="1" objects="1" selectLockedCells="1"/>
  <protectedRanges>
    <protectedRange sqref="D4:D9" name="Targets"/>
  </protectedRanges>
  <mergeCells count="1">
    <mergeCell ref="C32:D32"/>
  </mergeCells>
  <printOptions horizontalCentered="1"/>
  <pageMargins left="0.5" right="0.5" top="0.5" bottom="0.5" header="0.5" footer="0.5"/>
  <pageSetup paperSize="9" scale="69" fitToHeight="0" orientation="portrait" r:id="rId1"/>
  <ignoredErrors>
    <ignoredError sqref="D16"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45B4F290F89343BE8E984764BF921D" ma:contentTypeVersion="18" ma:contentTypeDescription="Create a new document." ma:contentTypeScope="" ma:versionID="a130fc5efa99702356c78ad7cd7a11fb">
  <xsd:schema xmlns:xsd="http://www.w3.org/2001/XMLSchema" xmlns:xs="http://www.w3.org/2001/XMLSchema" xmlns:p="http://schemas.microsoft.com/office/2006/metadata/properties" xmlns:ns2="e6419a57-f989-41e6-b47e-52789c3782b5" xmlns:ns3="6ce7796f-ebfc-4bca-b8b7-7eb6ec417a63" targetNamespace="http://schemas.microsoft.com/office/2006/metadata/properties" ma:root="true" ma:fieldsID="42b486bd032d8db7c904692b29525583" ns2:_="" ns3:_="">
    <xsd:import namespace="e6419a57-f989-41e6-b47e-52789c3782b5"/>
    <xsd:import namespace="6ce7796f-ebfc-4bca-b8b7-7eb6ec417a63"/>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DateTaken" minOccurs="0"/>
                <xsd:element ref="ns2:MediaServiceLocation" minOccurs="0"/>
                <xsd:element ref="ns3:SharedWithUsers" minOccurs="0"/>
                <xsd:element ref="ns3:SharedWithDetails" minOccurs="0"/>
                <xsd:element ref="ns2:MediaServiceAutoTags"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419a57-f989-41e6-b47e-52789c3782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AutoTags" ma:index="16" nillable="true" ma:displayName="MediaServiceAutoTags"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4901dcd-99d9-47d9-9868-9bfe0073bbb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e7796f-ebfc-4bca-b8b7-7eb6ec417a6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ecd22dc-04ff-46bf-96c4-0cd6e285af20}" ma:internalName="TaxCatchAll" ma:showField="CatchAllData" ma:web="6ce7796f-ebfc-4bca-b8b7-7eb6ec417a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G e m i n i   x m l n s = " h t t p : / / g e m i n i / p i v o t c u s t o m i z a t i o n / R e l a t i o n s h i p A u t o D e t e c t i o n E n a b l e d " > < C u s t o m C o n t e n t > < ! [ C D A T A [ T r u e ] ] > < / C u s t o m C o n t e n t > < / G e m i n i > 
</file>

<file path=customXml/item3.xml><?xml version="1.0" encoding="utf-8"?>
<p:properties xmlns:p="http://schemas.microsoft.com/office/2006/metadata/properties" xmlns:xsi="http://www.w3.org/2001/XMLSchema-instance" xmlns:pc="http://schemas.microsoft.com/office/infopath/2007/PartnerControls">
  <documentManagement>
    <SharedWithUsers xmlns="6ce7796f-ebfc-4bca-b8b7-7eb6ec417a63">
      <UserInfo>
        <DisplayName>Samantha Tennent</DisplayName>
        <AccountId>15</AccountId>
        <AccountType/>
      </UserInfo>
      <UserInfo>
        <DisplayName>Joanne Gisborne</DisplayName>
        <AccountId>57</AccountId>
        <AccountType/>
      </UserInfo>
    </SharedWithUsers>
    <TaxCatchAll xmlns="6ce7796f-ebfc-4bca-b8b7-7eb6ec417a63" xsi:nil="true"/>
    <lcf76f155ced4ddcb4097134ff3c332f xmlns="e6419a57-f989-41e6-b47e-52789c3782b5">
      <Terms xmlns="http://schemas.microsoft.com/office/infopath/2007/PartnerControls"/>
    </lcf76f155ced4ddcb4097134ff3c332f>
  </documentManagement>
</p:properties>
</file>

<file path=customXml/item4.xml>��< ? x m l   v e r s i o n = " 1 . 0 "   e n c o d i n g = " U T F - 1 6 " ? > < G e m i n i   x m l n s = " h t t p : / / g e m i n i / p i v o t c u s t o m i z a t i o n / P o w e r P i v o t V e r s i o n " > < C u s t o m C o n t e n t > < ! [ C D A T A [ 2 0 1 5 . 1 3 0 . 8 0 0 . 6 9 8 ] ] > < / C u s t o m C o n t e n t > < / G e m i n i > 
</file>

<file path=customXml/item5.xml>��< ? x m l   v e r s i o n = " 1 . 0 "   e n c o d i n g = " U T F - 1 6 " ? > < G e m i n i   x m l n s = " h t t p : / / g e m i n i / p i v o t c u s t o m i z a t i o n / S a n d b o x N o n E m p t y " > < C u s t o m C o n t e n t > < ! [ C D A T A [ 1 ] ] > < / C u s t o m C o n t e n t > < / G e m i n i > 
</file>

<file path=customXml/item6.xml>��< ? x m l   v e r s i o n = " 1 . 0 "   e n c o d i n g = " U T F - 1 6 " ? > < G e m i n i   x m l n s = " h t t p : / / g e m i n i / p i v o t c u s t o m i z a t i o n / I s S a n d b o x E m b e d d e d " > < C u s t o m C o n t e n t > < ! [ C D A T A [ y e s ] ] > < / C u s t o m C o n t e n t > < / G e m i n i > 
</file>

<file path=customXml/item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 2 0 1 9 - 0 1 - 2 8 T 1 4 : 1 7 : 2 1 . 9 6 9 4 3 9 6 + 1 3 : 0 0 < / L a s t P r o c e s s e d T i m e > < / D a t a M o d e l i n g S a n d b o x . S e r i a l i z e d S a n d b o x E r r o r C a c h e > ] ] > < / C u s t o m C o n t e n t > < / G e m i n i > 
</file>

<file path=customXml/item8.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91CFD3-6FBF-4983-99BF-2704877EA0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419a57-f989-41e6-b47e-52789c3782b5"/>
    <ds:schemaRef ds:uri="6ce7796f-ebfc-4bca-b8b7-7eb6ec417a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41D260-D5B9-49F6-BFA2-CF5E3E03FEE4}">
  <ds:schemaRefs>
    <ds:schemaRef ds:uri="http://gemini/pivotcustomization/RelationshipAutoDetectionEnabled"/>
  </ds:schemaRefs>
</ds:datastoreItem>
</file>

<file path=customXml/itemProps3.xml><?xml version="1.0" encoding="utf-8"?>
<ds:datastoreItem xmlns:ds="http://schemas.openxmlformats.org/officeDocument/2006/customXml" ds:itemID="{7B3AD65B-CFCD-4714-BD98-8CE7A7EB9107}">
  <ds:schemaRefs>
    <ds:schemaRef ds:uri="http://schemas.microsoft.com/office/2006/documentManagement/types"/>
    <ds:schemaRef ds:uri="http://www.w3.org/XML/1998/namespace"/>
    <ds:schemaRef ds:uri="http://purl.org/dc/dcmitype/"/>
    <ds:schemaRef ds:uri="6ce7796f-ebfc-4bca-b8b7-7eb6ec417a63"/>
    <ds:schemaRef ds:uri="http://schemas.microsoft.com/office/infopath/2007/PartnerControls"/>
    <ds:schemaRef ds:uri="http://purl.org/dc/terms/"/>
    <ds:schemaRef ds:uri="http://schemas.openxmlformats.org/package/2006/metadata/core-properties"/>
    <ds:schemaRef ds:uri="e6419a57-f989-41e6-b47e-52789c3782b5"/>
    <ds:schemaRef ds:uri="http://schemas.microsoft.com/office/2006/metadata/properties"/>
    <ds:schemaRef ds:uri="http://purl.org/dc/elements/1.1/"/>
  </ds:schemaRefs>
</ds:datastoreItem>
</file>

<file path=customXml/itemProps4.xml><?xml version="1.0" encoding="utf-8"?>
<ds:datastoreItem xmlns:ds="http://schemas.openxmlformats.org/officeDocument/2006/customXml" ds:itemID="{729A1ED3-136E-4551-A15B-FA84B54A97FB}">
  <ds:schemaRefs>
    <ds:schemaRef ds:uri="http://gemini/pivotcustomization/PowerPivotVersion"/>
  </ds:schemaRefs>
</ds:datastoreItem>
</file>

<file path=customXml/itemProps5.xml><?xml version="1.0" encoding="utf-8"?>
<ds:datastoreItem xmlns:ds="http://schemas.openxmlformats.org/officeDocument/2006/customXml" ds:itemID="{F200B4E3-2B97-4A7D-8125-9A51C535BF93}">
  <ds:schemaRefs>
    <ds:schemaRef ds:uri="http://gemini/pivotcustomization/SandboxNonEmpty"/>
  </ds:schemaRefs>
</ds:datastoreItem>
</file>

<file path=customXml/itemProps6.xml><?xml version="1.0" encoding="utf-8"?>
<ds:datastoreItem xmlns:ds="http://schemas.openxmlformats.org/officeDocument/2006/customXml" ds:itemID="{F727FC45-A6F3-4796-803F-D7C47D597E81}">
  <ds:schemaRefs>
    <ds:schemaRef ds:uri="http://gemini/pivotcustomization/IsSandboxEmbedded"/>
  </ds:schemaRefs>
</ds:datastoreItem>
</file>

<file path=customXml/itemProps7.xml><?xml version="1.0" encoding="utf-8"?>
<ds:datastoreItem xmlns:ds="http://schemas.openxmlformats.org/officeDocument/2006/customXml" ds:itemID="{D93A500C-90B3-4DB8-9E7E-F1C677171065}">
  <ds:schemaRefs>
    <ds:schemaRef ds:uri="http://gemini/pivotcustomization/ErrorCache"/>
  </ds:schemaRefs>
</ds:datastoreItem>
</file>

<file path=customXml/itemProps8.xml><?xml version="1.0" encoding="utf-8"?>
<ds:datastoreItem xmlns:ds="http://schemas.openxmlformats.org/officeDocument/2006/customXml" ds:itemID="{B9D0CC47-9A4B-421C-B3FD-FBAB8ECA25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Report Example</vt:lpstr>
      <vt:lpstr>Instructions</vt:lpstr>
      <vt:lpstr>Input Sheet</vt:lpstr>
      <vt:lpstr>Results Page</vt:lpstr>
      <vt:lpstr>Non- Cycling</vt:lpstr>
      <vt:lpstr>Heat Detection</vt:lpstr>
      <vt:lpstr>BCS loss @ early lactation</vt:lpstr>
      <vt:lpstr>BCS @ Calving</vt:lpstr>
      <vt:lpstr>Cow Health</vt:lpstr>
      <vt:lpstr>Calving Pattern</vt:lpstr>
      <vt:lpstr>Heifer Rearing</vt:lpstr>
      <vt:lpstr>Glossary</vt:lpstr>
      <vt:lpstr>'BCS @ Calving'!Print_Area</vt:lpstr>
      <vt:lpstr>'BCS loss @ early lactation'!Print_Area</vt:lpstr>
      <vt:lpstr>'Calving Pattern'!Print_Area</vt:lpstr>
      <vt:lpstr>'Cow Health'!Print_Area</vt:lpstr>
      <vt:lpstr>Glossary!Print_Area</vt:lpstr>
      <vt:lpstr>'Heat Detection'!Print_Area</vt:lpstr>
      <vt:lpstr>'Heifer Rearing'!Print_Area</vt:lpstr>
      <vt:lpstr>'Input Sheet'!Print_Area</vt:lpstr>
      <vt:lpstr>Instructions!Print_Area</vt:lpstr>
      <vt:lpstr>'Non- Cycling'!Print_Area</vt:lpstr>
      <vt:lpstr>'Report Example'!Print_Area</vt:lpstr>
      <vt:lpstr>'Results Page'!Print_Area</vt:lpstr>
    </vt:vector>
  </TitlesOfParts>
  <Manager/>
  <Company>DairyNZ</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Lawn</dc:creator>
  <cp:keywords/>
  <dc:description/>
  <cp:lastModifiedBy>Jane Lacy-Hulbert</cp:lastModifiedBy>
  <cp:revision/>
  <cp:lastPrinted>2024-09-25T05:00:53Z</cp:lastPrinted>
  <dcterms:created xsi:type="dcterms:W3CDTF">2014-05-27T01:54:16Z</dcterms:created>
  <dcterms:modified xsi:type="dcterms:W3CDTF">2024-09-30T21:10:47Z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0x010100AC45B4F290F89343BE8E984764BF921D</vt:lpwstr>
  </property>
  <property fmtid="{D5CDD505-2E9C-101B-9397-08002B2CF9AE}" pid="3" name="AuthorIds_UIVersion_512">
    <vt:lpwstr>16</vt:lpwstr>
  </property>
  <property fmtid="{D5CDD505-2E9C-101B-9397-08002B2CF9AE}" pid="4" name="MediaServiceImageTags">
    <vt:lpwstr/>
  </property>
</Properties>
</file>